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8780" windowHeight="12120" activeTab="0"/>
  </bookViews>
  <sheets>
    <sheet name="Zadání" sheetId="1" r:id="rId1"/>
    <sheet name="Výpočet" sheetId="2" r:id="rId2"/>
    <sheet name="Tisk" sheetId="3" r:id="rId3"/>
    <sheet name="data" sheetId="4" state="hidden" r:id="rId4"/>
  </sheets>
  <definedNames>
    <definedName name="_xlnm.Print_Area" localSheetId="2">'Tisk'!$B$2:$W$42</definedName>
    <definedName name="_xlnm.Print_Area" localSheetId="0">'Zadání'!$A$1:$I$45</definedName>
  </definedNames>
  <calcPr fullCalcOnLoad="1"/>
</workbook>
</file>

<file path=xl/comments1.xml><?xml version="1.0" encoding="utf-8"?>
<comments xmlns="http://schemas.openxmlformats.org/spreadsheetml/2006/main">
  <authors>
    <author>Barbora KOSTKOV?</author>
  </authors>
  <commentList>
    <comment ref="B20" authorId="0">
      <text>
        <r>
          <rPr>
            <b/>
            <sz val="8"/>
            <rFont val="Tahoma"/>
            <family val="0"/>
          </rPr>
          <t xml:space="preserve">Viz Tab. A.1
</t>
        </r>
      </text>
    </comment>
  </commentList>
</comments>
</file>

<file path=xl/comments2.xml><?xml version="1.0" encoding="utf-8"?>
<comments xmlns="http://schemas.openxmlformats.org/spreadsheetml/2006/main">
  <authors>
    <author>ČVUT v Praze - FS ústav 12116</author>
    <author>Barbora KOSTKOV?</author>
  </authors>
  <commentList>
    <comment ref="AV6" authorId="0">
      <text>
        <r>
          <rPr>
            <b/>
            <sz val="8"/>
            <rFont val="Tahoma"/>
            <family val="0"/>
          </rPr>
          <t>strana 36, A.5.8</t>
        </r>
        <r>
          <rPr>
            <sz val="8"/>
            <rFont val="Tahoma"/>
            <family val="0"/>
          </rPr>
          <t xml:space="preserve">
</t>
        </r>
      </text>
    </comment>
    <comment ref="AN6" authorId="1">
      <text>
        <r>
          <rPr>
            <b/>
            <sz val="8"/>
            <rFont val="Tahoma"/>
            <family val="0"/>
          </rPr>
          <t xml:space="preserve">A.5.6 str 35
</t>
        </r>
      </text>
    </comment>
  </commentList>
</comments>
</file>

<file path=xl/comments3.xml><?xml version="1.0" encoding="utf-8"?>
<comments xmlns="http://schemas.openxmlformats.org/spreadsheetml/2006/main">
  <authors>
    <author>Richard Nosek</author>
  </authors>
  <commentList>
    <comment ref="V17" authorId="0">
      <text>
        <r>
          <rPr>
            <b/>
            <sz val="8"/>
            <rFont val="Tahoma"/>
            <family val="0"/>
          </rPr>
          <t xml:space="preserve">Pozn.:
</t>
        </r>
        <r>
          <rPr>
            <sz val="8"/>
            <rFont val="Tahoma"/>
            <family val="2"/>
          </rPr>
          <t xml:space="preserve">Pokud vychází ve sloupci "U" intenzita větrání </t>
        </r>
        <r>
          <rPr>
            <b/>
            <sz val="8"/>
            <rFont val="Tahoma"/>
            <family val="2"/>
          </rPr>
          <t>I&lt;0,5</t>
        </r>
        <r>
          <rPr>
            <sz val="8"/>
            <rFont val="Tahoma"/>
            <family val="2"/>
          </rPr>
          <t xml:space="preserve"> (1/h), pak skutečný průtok vzduchu </t>
        </r>
        <r>
          <rPr>
            <b/>
            <sz val="8"/>
            <rFont val="Tahoma"/>
            <family val="2"/>
          </rPr>
          <t>V</t>
        </r>
        <r>
          <rPr>
            <b/>
            <vertAlign val="subscript"/>
            <sz val="8"/>
            <rFont val="Tahoma"/>
            <family val="2"/>
          </rPr>
          <t>skut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(m</t>
        </r>
        <r>
          <rPr>
            <vertAlign val="superscript"/>
            <sz val="8"/>
            <rFont val="Tahoma"/>
            <family val="2"/>
          </rPr>
          <t>3</t>
        </r>
        <r>
          <rPr>
            <sz val="8"/>
            <rFont val="Tahoma"/>
            <family val="2"/>
          </rPr>
          <t xml:space="preserve">/h) je určen pro </t>
        </r>
        <r>
          <rPr>
            <b/>
            <sz val="8"/>
            <rFont val="Tahoma"/>
            <family val="2"/>
          </rPr>
          <t>I=0,5</t>
        </r>
        <r>
          <rPr>
            <sz val="8"/>
            <rFont val="Tahoma"/>
            <family val="2"/>
          </rPr>
          <t xml:space="preserve"> (1/h)</t>
        </r>
        <r>
          <rPr>
            <b/>
            <sz val="8"/>
            <rFont val="Tahoma"/>
            <family val="0"/>
          </rPr>
          <t xml:space="preserve"> </t>
        </r>
      </text>
    </comment>
  </commentList>
</comments>
</file>

<file path=xl/sharedStrings.xml><?xml version="1.0" encoding="utf-8"?>
<sst xmlns="http://schemas.openxmlformats.org/spreadsheetml/2006/main" count="354" uniqueCount="193">
  <si>
    <t>1. PP</t>
  </si>
  <si>
    <t>2. PP</t>
  </si>
  <si>
    <t>3. PP</t>
  </si>
  <si>
    <t>4. PP</t>
  </si>
  <si>
    <t>5. PP</t>
  </si>
  <si>
    <t>6. PP</t>
  </si>
  <si>
    <t>7. PP</t>
  </si>
  <si>
    <t>8. PP</t>
  </si>
  <si>
    <t>9. PP</t>
  </si>
  <si>
    <t>10. PP</t>
  </si>
  <si>
    <t>11. PP</t>
  </si>
  <si>
    <t>12. PP</t>
  </si>
  <si>
    <t>13. PP</t>
  </si>
  <si>
    <t>14. PP</t>
  </si>
  <si>
    <t>15. PP</t>
  </si>
  <si>
    <t>16. PP</t>
  </si>
  <si>
    <t>17. PP</t>
  </si>
  <si>
    <t>18. PP</t>
  </si>
  <si>
    <t>19. PP</t>
  </si>
  <si>
    <t>20. PP</t>
  </si>
  <si>
    <t>(m)</t>
  </si>
  <si>
    <t>(%)</t>
  </si>
  <si>
    <t>Parkující vozidla</t>
  </si>
  <si>
    <t>Délka trasy
stoupání</t>
  </si>
  <si>
    <t>Projíždějící vozidla</t>
  </si>
  <si>
    <t>Délka trasy
rovina</t>
  </si>
  <si>
    <t xml:space="preserve">Délka trasy
klesání </t>
  </si>
  <si>
    <t xml:space="preserve">Délka trasy
rovina </t>
  </si>
  <si>
    <t>(s)</t>
  </si>
  <si>
    <t>Doba jízdy
rovina</t>
  </si>
  <si>
    <t>Doba jízdy
klesání</t>
  </si>
  <si>
    <t>Doba jízdy
stoupání</t>
  </si>
  <si>
    <t>(1/h)</t>
  </si>
  <si>
    <t>Doba Volnoběhu</t>
  </si>
  <si>
    <t>Doba volnoběhu</t>
  </si>
  <si>
    <t>Parkující - jedno vozidlo</t>
  </si>
  <si>
    <t xml:space="preserve">Projíždějící - jedno vozidlo </t>
  </si>
  <si>
    <t>Parkující - všechna vozidla</t>
  </si>
  <si>
    <t>Projíždějící - všechna vozidla</t>
  </si>
  <si>
    <t xml:space="preserve">rovina </t>
  </si>
  <si>
    <t>klesání</t>
  </si>
  <si>
    <t>volnoběh</t>
  </si>
  <si>
    <t>Celkem</t>
  </si>
  <si>
    <t>Průtok vzduchu</t>
  </si>
  <si>
    <r>
      <t>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/h)</t>
    </r>
  </si>
  <si>
    <t>Cp</t>
  </si>
  <si>
    <t>Ce</t>
  </si>
  <si>
    <t>ppm</t>
  </si>
  <si>
    <t>Výpočet provozního větrání garáží dle ČSN 73 6058</t>
  </si>
  <si>
    <r>
      <t>Tab. A.1 - Frekvence výměny vozidel</t>
    </r>
    <r>
      <rPr>
        <b/>
        <i/>
        <sz val="10"/>
        <rFont val="Arial"/>
        <family val="2"/>
      </rPr>
      <t xml:space="preserve"> f </t>
    </r>
    <r>
      <rPr>
        <b/>
        <sz val="10"/>
        <rFont val="Arial"/>
        <family val="2"/>
      </rPr>
      <t>(1/h)</t>
    </r>
  </si>
  <si>
    <t xml:space="preserve">Druh garáže </t>
  </si>
  <si>
    <t>Frekvence f (1/h)</t>
  </si>
  <si>
    <r>
      <t xml:space="preserve">Parkovací objekty (Park </t>
    </r>
    <r>
      <rPr>
        <sz val="10"/>
        <rFont val="Symbol"/>
        <family val="1"/>
      </rPr>
      <t>&amp;</t>
    </r>
    <r>
      <rPr>
        <sz val="10"/>
        <rFont val="Arial"/>
        <family val="0"/>
      </rPr>
      <t xml:space="preserve"> Ride)</t>
    </r>
  </si>
  <si>
    <t>Nákupní centra se smíšeným účelem 
(prodejny, gastronomie, služby)</t>
  </si>
  <si>
    <t xml:space="preserve">Kulturní, zábavní objekty </t>
  </si>
  <si>
    <t>Jednotlivé prodejny s omezenou abídkou zboží</t>
  </si>
  <si>
    <t xml:space="preserve">Tab. A.2 - Emise oxidu uhelnatáho vozidel skupiny 1 </t>
  </si>
  <si>
    <r>
      <t>Jízda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/s·voz.)</t>
    </r>
  </si>
  <si>
    <r>
      <t>Rovina, klesání
V</t>
    </r>
    <r>
      <rPr>
        <vertAlign val="subscript"/>
        <sz val="10"/>
        <rFont val="Arial"/>
        <family val="2"/>
      </rPr>
      <t>CO j rov.voz.</t>
    </r>
  </si>
  <si>
    <r>
      <t>5</t>
    </r>
    <r>
      <rPr>
        <sz val="10"/>
        <rFont val="Arial"/>
        <family val="2"/>
      </rPr>
      <t>·</t>
    </r>
    <r>
      <rPr>
        <sz val="10"/>
        <rFont val="Arial"/>
        <family val="0"/>
      </rPr>
      <t>10</t>
    </r>
    <r>
      <rPr>
        <vertAlign val="superscript"/>
        <sz val="10"/>
        <rFont val="Arial"/>
        <family val="2"/>
      </rPr>
      <t>-5</t>
    </r>
  </si>
  <si>
    <r>
      <t>Stoupání 
V</t>
    </r>
    <r>
      <rPr>
        <vertAlign val="subscript"/>
        <sz val="10"/>
        <rFont val="Arial"/>
        <family val="2"/>
      </rPr>
      <t>CO j st.voz.</t>
    </r>
  </si>
  <si>
    <r>
      <t>6,5</t>
    </r>
    <r>
      <rPr>
        <sz val="10"/>
        <rFont val="Arial"/>
        <family val="2"/>
      </rPr>
      <t>·</t>
    </r>
    <r>
      <rPr>
        <sz val="10"/>
        <rFont val="Arial"/>
        <family val="0"/>
      </rPr>
      <t>10</t>
    </r>
    <r>
      <rPr>
        <vertAlign val="superscript"/>
        <sz val="10"/>
        <rFont val="Arial"/>
        <family val="2"/>
      </rPr>
      <t>-5</t>
    </r>
  </si>
  <si>
    <r>
      <t>8,9</t>
    </r>
    <r>
      <rPr>
        <sz val="10"/>
        <rFont val="Arial"/>
        <family val="2"/>
      </rPr>
      <t>·</t>
    </r>
    <r>
      <rPr>
        <sz val="10"/>
        <rFont val="Arial"/>
        <family val="0"/>
      </rPr>
      <t>10</t>
    </r>
    <r>
      <rPr>
        <vertAlign val="superscript"/>
        <sz val="10"/>
        <rFont val="Arial"/>
        <family val="2"/>
      </rPr>
      <t>-5</t>
    </r>
  </si>
  <si>
    <r>
      <t>13</t>
    </r>
    <r>
      <rPr>
        <sz val="10"/>
        <rFont val="Arial"/>
        <family val="2"/>
      </rPr>
      <t>·</t>
    </r>
    <r>
      <rPr>
        <sz val="10"/>
        <rFont val="Arial"/>
        <family val="0"/>
      </rPr>
      <t>10</t>
    </r>
    <r>
      <rPr>
        <vertAlign val="superscript"/>
        <sz val="10"/>
        <rFont val="Arial"/>
        <family val="2"/>
      </rPr>
      <t>-5</t>
    </r>
  </si>
  <si>
    <r>
      <t>Volnoběh
 V</t>
    </r>
    <r>
      <rPr>
        <vertAlign val="subscript"/>
        <sz val="10"/>
        <rFont val="Arial"/>
        <family val="2"/>
      </rPr>
      <t>CO v voz.</t>
    </r>
    <r>
      <rPr>
        <sz val="10"/>
        <rFont val="Arial"/>
        <family val="0"/>
      </rPr>
      <t xml:space="preserve">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/s·voz.)</t>
    </r>
  </si>
  <si>
    <r>
      <t>2,2</t>
    </r>
    <r>
      <rPr>
        <sz val="10"/>
        <rFont val="Arial"/>
        <family val="2"/>
      </rPr>
      <t>·</t>
    </r>
    <r>
      <rPr>
        <sz val="10"/>
        <rFont val="Arial"/>
        <family val="0"/>
      </rPr>
      <t>10</t>
    </r>
    <r>
      <rPr>
        <vertAlign val="superscript"/>
        <sz val="10"/>
        <rFont val="Arial"/>
        <family val="2"/>
      </rPr>
      <t>-5</t>
    </r>
  </si>
  <si>
    <r>
      <t>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/h</t>
    </r>
    <r>
      <rPr>
        <sz val="10"/>
        <rFont val="Arial"/>
        <family val="2"/>
      </rPr>
      <t>·</t>
    </r>
    <r>
      <rPr>
        <sz val="10"/>
        <rFont val="Arial"/>
        <family val="0"/>
      </rPr>
      <t>stání)</t>
    </r>
  </si>
  <si>
    <t>Ano</t>
  </si>
  <si>
    <t>Ne</t>
  </si>
  <si>
    <t>PP</t>
  </si>
  <si>
    <t xml:space="preserve">Samoobslužné garáže </t>
  </si>
  <si>
    <t>Garáže se špičkovou výměnou vozidel</t>
  </si>
  <si>
    <t xml:space="preserve">Vjezd do garáže  </t>
  </si>
  <si>
    <t>Velkoměsto</t>
  </si>
  <si>
    <t>Malé město</t>
  </si>
  <si>
    <t>Velikost města</t>
  </si>
  <si>
    <t>Intenzita
 větrání</t>
  </si>
  <si>
    <t>Délka 
garáže</t>
  </si>
  <si>
    <t>Šířka
garáže</t>
  </si>
  <si>
    <t>Výška 
garáže</t>
  </si>
  <si>
    <t>Úhel stoupání (%)</t>
  </si>
  <si>
    <t>xxx (x)</t>
  </si>
  <si>
    <t>Závislost prod,,, na</t>
  </si>
  <si>
    <t>Patra</t>
  </si>
  <si>
    <t>Park. voz</t>
  </si>
  <si>
    <t>Vjezdy</t>
  </si>
  <si>
    <t>počet aut</t>
  </si>
  <si>
    <t>Počet stání vozidel v úseku</t>
  </si>
  <si>
    <t>Druh garáže</t>
  </si>
  <si>
    <t xml:space="preserve">Nákupní centra se smíšeným účelem </t>
  </si>
  <si>
    <t>Parkovací objekty</t>
  </si>
  <si>
    <t>Úsek se špičkovou výměnou vozidel</t>
  </si>
  <si>
    <t>l</t>
  </si>
  <si>
    <t>š</t>
  </si>
  <si>
    <t>v</t>
  </si>
  <si>
    <t>Vnitřní rozměry úseků</t>
  </si>
  <si>
    <t>Skutečný průtok vzduchu</t>
  </si>
  <si>
    <r>
      <t xml:space="preserve"> V</t>
    </r>
    <r>
      <rPr>
        <i/>
        <vertAlign val="subscript"/>
        <sz val="10"/>
        <rFont val="Arial"/>
        <family val="2"/>
      </rPr>
      <t>skut</t>
    </r>
  </si>
  <si>
    <t>P</t>
  </si>
  <si>
    <t>( - )</t>
  </si>
  <si>
    <r>
      <t xml:space="preserve">Parkovací doba jednoho vozidla </t>
    </r>
    <r>
      <rPr>
        <sz val="10"/>
        <rFont val="Symbol"/>
        <family val="1"/>
      </rPr>
      <t>t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 xml:space="preserve"> ( h )</t>
    </r>
  </si>
  <si>
    <t xml:space="preserve">Počet vozidel </t>
  </si>
  <si>
    <t>n</t>
  </si>
  <si>
    <t xml:space="preserve"> ( - )</t>
  </si>
  <si>
    <r>
      <t xml:space="preserve">Počet úseků </t>
    </r>
    <r>
      <rPr>
        <i/>
        <sz val="10"/>
        <rFont val="Arial"/>
        <family val="2"/>
      </rPr>
      <t xml:space="preserve">i </t>
    </r>
    <r>
      <rPr>
        <sz val="10"/>
        <rFont val="Arial"/>
        <family val="2"/>
      </rPr>
      <t>( - )</t>
    </r>
  </si>
  <si>
    <r>
      <t xml:space="preserve">Rychlost jízdy </t>
    </r>
    <r>
      <rPr>
        <i/>
        <sz val="10"/>
        <rFont val="Arial"/>
        <family val="2"/>
      </rPr>
      <t xml:space="preserve">w </t>
    </r>
    <r>
      <rPr>
        <sz val="10"/>
        <rFont val="Arial"/>
        <family val="2"/>
      </rPr>
      <t>(km/h; m/s)</t>
    </r>
  </si>
  <si>
    <r>
      <t xml:space="preserve">Frekvence výměn vozidel na stání </t>
    </r>
    <r>
      <rPr>
        <i/>
        <sz val="10"/>
        <rFont val="Arial"/>
        <family val="2"/>
      </rPr>
      <t xml:space="preserve">f </t>
    </r>
    <r>
      <rPr>
        <sz val="10"/>
        <rFont val="Arial"/>
        <family val="2"/>
      </rPr>
      <t>(1/h)</t>
    </r>
  </si>
  <si>
    <r>
      <t>t</t>
    </r>
    <r>
      <rPr>
        <i/>
        <vertAlign val="subscript"/>
        <sz val="10"/>
        <rFont val="Arial"/>
        <family val="2"/>
      </rPr>
      <t>v</t>
    </r>
  </si>
  <si>
    <t xml:space="preserve"> p</t>
  </si>
  <si>
    <t>Počet projíždějících vozidel v úsecích</t>
  </si>
  <si>
    <r>
      <t>s</t>
    </r>
    <r>
      <rPr>
        <i/>
        <vertAlign val="subscript"/>
        <sz val="10"/>
        <rFont val="Arial"/>
        <family val="2"/>
      </rPr>
      <t>rov.</t>
    </r>
  </si>
  <si>
    <r>
      <t>s</t>
    </r>
    <r>
      <rPr>
        <i/>
        <vertAlign val="subscript"/>
        <sz val="10"/>
        <rFont val="Arial"/>
        <family val="2"/>
      </rPr>
      <t>kl.</t>
    </r>
  </si>
  <si>
    <r>
      <t>s</t>
    </r>
    <r>
      <rPr>
        <i/>
        <vertAlign val="subscript"/>
        <sz val="10"/>
        <rFont val="Arial"/>
        <family val="2"/>
      </rPr>
      <t>st.</t>
    </r>
  </si>
  <si>
    <r>
      <t>t</t>
    </r>
    <r>
      <rPr>
        <i/>
        <vertAlign val="subscript"/>
        <sz val="10"/>
        <rFont val="Arial"/>
        <family val="2"/>
      </rPr>
      <t>j,rov.</t>
    </r>
  </si>
  <si>
    <r>
      <t>t</t>
    </r>
    <r>
      <rPr>
        <i/>
        <vertAlign val="subscript"/>
        <sz val="10"/>
        <rFont val="Arial"/>
        <family val="2"/>
      </rPr>
      <t>j,kl.</t>
    </r>
  </si>
  <si>
    <r>
      <t>t</t>
    </r>
    <r>
      <rPr>
        <i/>
        <vertAlign val="subscript"/>
        <sz val="10"/>
        <rFont val="Arial"/>
        <family val="2"/>
      </rPr>
      <t>j,st.</t>
    </r>
  </si>
  <si>
    <r>
      <t>t</t>
    </r>
    <r>
      <rPr>
        <i/>
        <vertAlign val="subscript"/>
        <sz val="10"/>
        <rFont val="Arial"/>
        <family val="2"/>
      </rPr>
      <t>jc,rov.</t>
    </r>
  </si>
  <si>
    <t>(s/h)</t>
  </si>
  <si>
    <r>
      <t>t</t>
    </r>
    <r>
      <rPr>
        <i/>
        <vertAlign val="subscript"/>
        <sz val="10"/>
        <rFont val="Arial"/>
        <family val="2"/>
      </rPr>
      <t>jc,kl.</t>
    </r>
  </si>
  <si>
    <r>
      <t>t</t>
    </r>
    <r>
      <rPr>
        <i/>
        <vertAlign val="subscript"/>
        <sz val="10"/>
        <rFont val="Arial"/>
        <family val="2"/>
      </rPr>
      <t>jc,st.</t>
    </r>
  </si>
  <si>
    <r>
      <t>t</t>
    </r>
    <r>
      <rPr>
        <i/>
        <vertAlign val="subscript"/>
        <sz val="10"/>
        <rFont val="Arial"/>
        <family val="2"/>
      </rPr>
      <t>vc</t>
    </r>
  </si>
  <si>
    <t>V</t>
  </si>
  <si>
    <t xml:space="preserve">Měrný průtok vzduchu </t>
  </si>
  <si>
    <r>
      <t>V</t>
    </r>
    <r>
      <rPr>
        <i/>
        <vertAlign val="subscript"/>
        <sz val="10"/>
        <rFont val="Arial"/>
        <family val="2"/>
      </rPr>
      <t>m</t>
    </r>
  </si>
  <si>
    <t>I</t>
  </si>
  <si>
    <r>
      <t xml:space="preserve">Objemová emise </t>
    </r>
    <r>
      <rPr>
        <i/>
        <sz val="10"/>
        <rFont val="Arial"/>
        <family val="2"/>
      </rPr>
      <t>V</t>
    </r>
    <r>
      <rPr>
        <i/>
        <vertAlign val="subscript"/>
        <sz val="10"/>
        <rFont val="Arial"/>
        <family val="2"/>
      </rPr>
      <t>CO</t>
    </r>
  </si>
  <si>
    <t>Rovina</t>
  </si>
  <si>
    <t>Klesání</t>
  </si>
  <si>
    <t>Stoupání</t>
  </si>
  <si>
    <t>Volnoběh</t>
  </si>
  <si>
    <r>
      <t xml:space="preserve">Celkem </t>
    </r>
    <r>
      <rPr>
        <b/>
        <i/>
        <sz val="10"/>
        <rFont val="Arial"/>
        <family val="2"/>
      </rPr>
      <t>V</t>
    </r>
    <r>
      <rPr>
        <b/>
        <i/>
        <vertAlign val="subscript"/>
        <sz val="10"/>
        <rFont val="Arial"/>
        <family val="2"/>
      </rPr>
      <t>c</t>
    </r>
    <r>
      <rPr>
        <b/>
        <vertAlign val="subscript"/>
        <sz val="10"/>
        <rFont val="Arial"/>
        <family val="2"/>
      </rPr>
      <t xml:space="preserve"> </t>
    </r>
    <r>
      <rPr>
        <b/>
        <sz val="10"/>
        <rFont val="Arial"/>
        <family val="2"/>
      </rPr>
      <t>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/h)</t>
    </r>
  </si>
  <si>
    <r>
      <t>Celkem</t>
    </r>
    <r>
      <rPr>
        <b/>
        <i/>
        <sz val="10"/>
        <rFont val="Arial"/>
        <family val="2"/>
      </rPr>
      <t xml:space="preserve"> V</t>
    </r>
    <r>
      <rPr>
        <b/>
        <i/>
        <vertAlign val="subscript"/>
        <sz val="10"/>
        <rFont val="Arial"/>
        <family val="2"/>
      </rPr>
      <t>c,skut</t>
    </r>
    <r>
      <rPr>
        <b/>
        <sz val="10"/>
        <rFont val="Arial"/>
        <family val="2"/>
      </rPr>
      <t xml:space="preserve">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/h)</t>
    </r>
  </si>
  <si>
    <t>Stavba :</t>
  </si>
  <si>
    <t>Vnitřní objem úseku</t>
  </si>
  <si>
    <r>
      <t>V</t>
    </r>
    <r>
      <rPr>
        <vertAlign val="subscript"/>
        <sz val="8"/>
        <rFont val="Arial"/>
        <family val="0"/>
      </rPr>
      <t>úsek</t>
    </r>
  </si>
  <si>
    <r>
      <t>s</t>
    </r>
    <r>
      <rPr>
        <i/>
        <vertAlign val="subscript"/>
        <sz val="8"/>
        <rFont val="Arial"/>
        <family val="0"/>
      </rPr>
      <t>rov.</t>
    </r>
  </si>
  <si>
    <r>
      <t>s</t>
    </r>
    <r>
      <rPr>
        <i/>
        <vertAlign val="subscript"/>
        <sz val="8"/>
        <rFont val="Arial"/>
        <family val="0"/>
      </rPr>
      <t>kl.</t>
    </r>
  </si>
  <si>
    <r>
      <t>s</t>
    </r>
    <r>
      <rPr>
        <i/>
        <vertAlign val="subscript"/>
        <sz val="8"/>
        <rFont val="Arial"/>
        <family val="0"/>
      </rPr>
      <t>st.</t>
    </r>
  </si>
  <si>
    <r>
      <t>t</t>
    </r>
    <r>
      <rPr>
        <i/>
        <vertAlign val="subscript"/>
        <sz val="8"/>
        <rFont val="Arial"/>
        <family val="0"/>
      </rPr>
      <t>v</t>
    </r>
  </si>
  <si>
    <r>
      <t>(m</t>
    </r>
    <r>
      <rPr>
        <vertAlign val="superscript"/>
        <sz val="8"/>
        <rFont val="Arial"/>
        <family val="0"/>
      </rPr>
      <t>3</t>
    </r>
    <r>
      <rPr>
        <sz val="8"/>
        <rFont val="Arial"/>
        <family val="0"/>
      </rPr>
      <t>)</t>
    </r>
  </si>
  <si>
    <r>
      <t>V</t>
    </r>
    <r>
      <rPr>
        <i/>
        <vertAlign val="subscript"/>
        <sz val="8"/>
        <rFont val="Arial"/>
        <family val="0"/>
      </rPr>
      <t>m</t>
    </r>
  </si>
  <si>
    <r>
      <t xml:space="preserve"> V</t>
    </r>
    <r>
      <rPr>
        <i/>
        <vertAlign val="subscript"/>
        <sz val="8"/>
        <rFont val="Arial"/>
        <family val="0"/>
      </rPr>
      <t>skut</t>
    </r>
  </si>
  <si>
    <r>
      <t>(m</t>
    </r>
    <r>
      <rPr>
        <vertAlign val="superscript"/>
        <sz val="8"/>
        <rFont val="Arial"/>
        <family val="0"/>
      </rPr>
      <t>3</t>
    </r>
    <r>
      <rPr>
        <sz val="8"/>
        <rFont val="Arial"/>
        <family val="0"/>
      </rPr>
      <t>/h)</t>
    </r>
  </si>
  <si>
    <r>
      <t>(m</t>
    </r>
    <r>
      <rPr>
        <vertAlign val="superscript"/>
        <sz val="8"/>
        <rFont val="Arial"/>
        <family val="0"/>
      </rPr>
      <t>3</t>
    </r>
    <r>
      <rPr>
        <sz val="8"/>
        <rFont val="Arial"/>
        <family val="0"/>
      </rPr>
      <t>/h·stání)</t>
    </r>
  </si>
  <si>
    <r>
      <t>Celkem</t>
    </r>
    <r>
      <rPr>
        <b/>
        <i/>
        <sz val="8"/>
        <rFont val="Arial"/>
        <family val="0"/>
      </rPr>
      <t xml:space="preserve"> V</t>
    </r>
    <r>
      <rPr>
        <b/>
        <i/>
        <vertAlign val="subscript"/>
        <sz val="8"/>
        <rFont val="Arial"/>
        <family val="0"/>
      </rPr>
      <t>c,skut</t>
    </r>
    <r>
      <rPr>
        <b/>
        <sz val="8"/>
        <rFont val="Arial"/>
        <family val="0"/>
      </rPr>
      <t xml:space="preserve"> (m</t>
    </r>
    <r>
      <rPr>
        <b/>
        <vertAlign val="superscript"/>
        <sz val="8"/>
        <rFont val="Arial"/>
        <family val="0"/>
      </rPr>
      <t>3</t>
    </r>
    <r>
      <rPr>
        <b/>
        <sz val="8"/>
        <rFont val="Arial"/>
        <family val="0"/>
      </rPr>
      <t>/h)</t>
    </r>
  </si>
  <si>
    <r>
      <t xml:space="preserve">Celkem </t>
    </r>
    <r>
      <rPr>
        <b/>
        <i/>
        <sz val="8"/>
        <rFont val="Arial"/>
        <family val="2"/>
      </rPr>
      <t>V</t>
    </r>
    <r>
      <rPr>
        <b/>
        <i/>
        <vertAlign val="subscript"/>
        <sz val="8"/>
        <rFont val="Arial"/>
        <family val="2"/>
      </rPr>
      <t>c</t>
    </r>
    <r>
      <rPr>
        <b/>
        <vertAlign val="subscript"/>
        <sz val="8"/>
        <rFont val="Arial"/>
        <family val="2"/>
      </rPr>
      <t xml:space="preserve"> </t>
    </r>
    <r>
      <rPr>
        <b/>
        <sz val="8"/>
        <rFont val="Arial"/>
        <family val="2"/>
      </rPr>
      <t>(m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/h)</t>
    </r>
  </si>
  <si>
    <t>Výpočet provozního větrání hromadných garáží dle ČSN 73 6058</t>
  </si>
  <si>
    <t>Velikost města :</t>
  </si>
  <si>
    <t>Samoobslužné garáže :</t>
  </si>
  <si>
    <t>Vjezd do garáže :</t>
  </si>
  <si>
    <t>Druh garáže :</t>
  </si>
  <si>
    <r>
      <t xml:space="preserve">Celkový počet stání v garáži </t>
    </r>
    <r>
      <rPr>
        <i/>
        <sz val="10"/>
        <rFont val="Arial"/>
        <family val="2"/>
      </rPr>
      <t>ΣP</t>
    </r>
    <r>
      <rPr>
        <sz val="10"/>
        <rFont val="Arial"/>
        <family val="0"/>
      </rPr>
      <t xml:space="preserve"> ( - )</t>
    </r>
  </si>
  <si>
    <t>Datum :</t>
  </si>
  <si>
    <t>Investor :</t>
  </si>
  <si>
    <t>Projektant:</t>
  </si>
  <si>
    <t>km/h</t>
  </si>
  <si>
    <t>m/s</t>
  </si>
  <si>
    <r>
      <t xml:space="preserve">Rychlost jízdy </t>
    </r>
    <r>
      <rPr>
        <i/>
        <sz val="9"/>
        <rFont val="Arial"/>
        <family val="2"/>
      </rPr>
      <t xml:space="preserve">w </t>
    </r>
    <r>
      <rPr>
        <sz val="9"/>
        <rFont val="Arial"/>
        <family val="2"/>
      </rPr>
      <t>:</t>
    </r>
  </si>
  <si>
    <r>
      <t xml:space="preserve">Frekvence výměn vozidel na stání </t>
    </r>
    <r>
      <rPr>
        <i/>
        <sz val="9"/>
        <rFont val="Arial"/>
        <family val="2"/>
      </rPr>
      <t xml:space="preserve">f </t>
    </r>
    <r>
      <rPr>
        <sz val="9"/>
        <rFont val="Arial"/>
        <family val="2"/>
      </rPr>
      <t>:</t>
    </r>
  </si>
  <si>
    <t>1/h</t>
  </si>
  <si>
    <t>h</t>
  </si>
  <si>
    <t>-</t>
  </si>
  <si>
    <t>Stupeň projektu :</t>
  </si>
  <si>
    <r>
      <t xml:space="preserve">Počet úseků </t>
    </r>
    <r>
      <rPr>
        <i/>
        <sz val="9"/>
        <rFont val="Arial"/>
        <family val="2"/>
      </rPr>
      <t xml:space="preserve">i </t>
    </r>
    <r>
      <rPr>
        <sz val="9"/>
        <rFont val="Arial"/>
        <family val="2"/>
      </rPr>
      <t>:</t>
    </r>
  </si>
  <si>
    <r>
      <t xml:space="preserve">Celkový počet stání v garáži </t>
    </r>
    <r>
      <rPr>
        <i/>
        <sz val="9"/>
        <rFont val="Arial"/>
        <family val="2"/>
      </rPr>
      <t>ΣP</t>
    </r>
    <r>
      <rPr>
        <sz val="9"/>
        <rFont val="Arial"/>
        <family val="2"/>
      </rPr>
      <t xml:space="preserve"> :</t>
    </r>
  </si>
  <si>
    <t>Jednotlivé prodejny s omezenou nabídkou zboží</t>
  </si>
  <si>
    <r>
      <t xml:space="preserve">Obytné budovy </t>
    </r>
    <r>
      <rPr>
        <sz val="10"/>
        <rFont val="Symbol"/>
        <family val="1"/>
      </rPr>
      <t>S</t>
    </r>
    <r>
      <rPr>
        <sz val="10"/>
        <rFont val="Arial"/>
        <family val="0"/>
      </rPr>
      <t xml:space="preserve">P </t>
    </r>
    <r>
      <rPr>
        <sz val="10"/>
        <rFont val="Arial"/>
        <family val="2"/>
      </rPr>
      <t>≥</t>
    </r>
    <r>
      <rPr>
        <sz val="10"/>
        <rFont val="Arial"/>
        <family val="0"/>
      </rPr>
      <t xml:space="preserve"> 50</t>
    </r>
  </si>
  <si>
    <r>
      <t xml:space="preserve">Obytné budovy </t>
    </r>
    <r>
      <rPr>
        <sz val="10"/>
        <rFont val="Symbol"/>
        <family val="1"/>
      </rPr>
      <t>S</t>
    </r>
    <r>
      <rPr>
        <sz val="10"/>
        <rFont val="Arial"/>
        <family val="0"/>
      </rPr>
      <t xml:space="preserve">P </t>
    </r>
    <r>
      <rPr>
        <sz val="10"/>
        <rFont val="Arial"/>
        <family val="2"/>
      </rPr>
      <t>&lt;</t>
    </r>
    <r>
      <rPr>
        <sz val="10"/>
        <rFont val="Arial"/>
        <family val="0"/>
      </rPr>
      <t xml:space="preserve"> 50</t>
    </r>
  </si>
  <si>
    <r>
      <t xml:space="preserve">Administrativní budova </t>
    </r>
    <r>
      <rPr>
        <sz val="10"/>
        <rFont val="Symbol"/>
        <family val="1"/>
      </rPr>
      <t>S</t>
    </r>
    <r>
      <rPr>
        <sz val="10"/>
        <rFont val="Arial"/>
        <family val="0"/>
      </rPr>
      <t xml:space="preserve">P </t>
    </r>
    <r>
      <rPr>
        <sz val="10"/>
        <rFont val="Arial"/>
        <family val="2"/>
      </rPr>
      <t>≥</t>
    </r>
    <r>
      <rPr>
        <sz val="10"/>
        <rFont val="Arial"/>
        <family val="0"/>
      </rPr>
      <t xml:space="preserve"> 50</t>
    </r>
  </si>
  <si>
    <r>
      <t xml:space="preserve">Administrativní budova </t>
    </r>
    <r>
      <rPr>
        <sz val="10"/>
        <rFont val="Symbol"/>
        <family val="1"/>
      </rPr>
      <t>S</t>
    </r>
    <r>
      <rPr>
        <sz val="10"/>
        <rFont val="Arial"/>
        <family val="0"/>
      </rPr>
      <t xml:space="preserve">P </t>
    </r>
    <r>
      <rPr>
        <sz val="10"/>
        <rFont val="Arial"/>
        <family val="2"/>
      </rPr>
      <t>&lt;</t>
    </r>
    <r>
      <rPr>
        <sz val="10"/>
        <rFont val="Arial"/>
        <family val="0"/>
      </rPr>
      <t xml:space="preserve"> 50</t>
    </r>
  </si>
  <si>
    <r>
      <t>V</t>
    </r>
    <r>
      <rPr>
        <i/>
        <vertAlign val="subscript"/>
        <sz val="10"/>
        <rFont val="Arial"/>
        <family val="2"/>
      </rPr>
      <t>CO j rov.</t>
    </r>
  </si>
  <si>
    <r>
      <t>V</t>
    </r>
    <r>
      <rPr>
        <i/>
        <vertAlign val="subscript"/>
        <sz val="10"/>
        <rFont val="Arial"/>
        <family val="2"/>
      </rPr>
      <t>CO j kl.</t>
    </r>
  </si>
  <si>
    <r>
      <t>V</t>
    </r>
    <r>
      <rPr>
        <i/>
        <vertAlign val="subscript"/>
        <sz val="10"/>
        <rFont val="Arial"/>
        <family val="2"/>
      </rPr>
      <t>CO j st.</t>
    </r>
  </si>
  <si>
    <r>
      <t>V</t>
    </r>
    <r>
      <rPr>
        <i/>
        <vertAlign val="subscript"/>
        <sz val="10"/>
        <rFont val="Arial"/>
        <family val="2"/>
      </rPr>
      <t>CO v.</t>
    </r>
  </si>
  <si>
    <r>
      <t>V</t>
    </r>
    <r>
      <rPr>
        <i/>
        <vertAlign val="subscript"/>
        <sz val="10"/>
        <rFont val="Arial"/>
        <family val="2"/>
      </rPr>
      <t>CO</t>
    </r>
  </si>
  <si>
    <t xml:space="preserve">Rampy pro vozidla </t>
  </si>
  <si>
    <t>Šroubovitá rampa</t>
  </si>
  <si>
    <t>Počet vozidel 
současně v provozu</t>
  </si>
  <si>
    <t>Rampa přímá</t>
  </si>
  <si>
    <t>Obytné budovy ΣP ≥ 50</t>
  </si>
  <si>
    <t>Obytné budovy ΣP &lt; 50</t>
  </si>
  <si>
    <t>Administrativní budova ΣP ≥ 50</t>
  </si>
  <si>
    <t>Administrativní budova ΣP &lt; 50</t>
  </si>
  <si>
    <t>CPEL</t>
  </si>
  <si>
    <t>Parkující vozidlo</t>
  </si>
  <si>
    <t>Projíždějící vozidlo</t>
  </si>
  <si>
    <r>
      <t xml:space="preserve">Parkovací doba jednoho vozidla </t>
    </r>
    <r>
      <rPr>
        <i/>
        <sz val="9"/>
        <rFont val="Symbol"/>
        <family val="1"/>
      </rPr>
      <t>t</t>
    </r>
    <r>
      <rPr>
        <i/>
        <vertAlign val="subscript"/>
        <sz val="9"/>
        <rFont val="Arial"/>
        <family val="2"/>
      </rPr>
      <t>p</t>
    </r>
    <r>
      <rPr>
        <sz val="9"/>
        <rFont val="Arial"/>
        <family val="2"/>
      </rPr>
      <t xml:space="preserve"> :</t>
    </r>
  </si>
  <si>
    <t>Sklon rampy</t>
  </si>
  <si>
    <t xml:space="preserve">Součet parkujících a projíždějících vozidel </t>
  </si>
  <si>
    <t>Do takto označených buněk vyplnit vstupní údaje</t>
  </si>
  <si>
    <t xml:space="preserve">Zpracováno v rámci odborné činnosti Ú12116, FS ČVUT v Praze. </t>
  </si>
  <si>
    <r>
      <t xml:space="preserve">Autoři: </t>
    </r>
    <r>
      <rPr>
        <sz val="7"/>
        <rFont val="Arial"/>
        <family val="0"/>
      </rPr>
      <t>Tereza Kostková, František Drkal, Jan Schwarzer</t>
    </r>
  </si>
  <si>
    <t>Autoři: Tereza Kostková, František Drkal, Jan Schwarzer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</si>
</sst>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E+00"/>
    <numFmt numFmtId="166" formatCode="0.000"/>
    <numFmt numFmtId="167" formatCode="#,##0.0"/>
  </numFmts>
  <fonts count="7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0"/>
      <name val="Symbol"/>
      <family val="1"/>
    </font>
    <font>
      <b/>
      <vertAlign val="superscript"/>
      <sz val="10"/>
      <name val="Arial"/>
      <family val="2"/>
    </font>
    <font>
      <sz val="10"/>
      <color indexed="10"/>
      <name val="Arial"/>
      <family val="0"/>
    </font>
    <font>
      <sz val="10"/>
      <color indexed="9"/>
      <name val="Arial"/>
      <family val="0"/>
    </font>
    <font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vertAlign val="subscript"/>
      <sz val="10"/>
      <name val="Arial"/>
      <family val="2"/>
    </font>
    <font>
      <sz val="9"/>
      <name val="Arial"/>
      <family val="2"/>
    </font>
    <font>
      <b/>
      <vertAlign val="subscript"/>
      <sz val="10"/>
      <name val="Arial"/>
      <family val="2"/>
    </font>
    <font>
      <b/>
      <i/>
      <vertAlign val="subscript"/>
      <sz val="10"/>
      <name val="Arial"/>
      <family val="2"/>
    </font>
    <font>
      <i/>
      <sz val="8"/>
      <name val="Arial"/>
      <family val="0"/>
    </font>
    <font>
      <vertAlign val="subscript"/>
      <sz val="8"/>
      <name val="Arial"/>
      <family val="0"/>
    </font>
    <font>
      <i/>
      <vertAlign val="subscript"/>
      <sz val="8"/>
      <name val="Arial"/>
      <family val="0"/>
    </font>
    <font>
      <vertAlign val="superscript"/>
      <sz val="8"/>
      <name val="Arial"/>
      <family val="0"/>
    </font>
    <font>
      <b/>
      <sz val="8"/>
      <name val="Arial"/>
      <family val="2"/>
    </font>
    <font>
      <b/>
      <i/>
      <sz val="8"/>
      <name val="Arial"/>
      <family val="0"/>
    </font>
    <font>
      <b/>
      <i/>
      <vertAlign val="subscript"/>
      <sz val="8"/>
      <name val="Arial"/>
      <family val="0"/>
    </font>
    <font>
      <b/>
      <vertAlign val="superscript"/>
      <sz val="8"/>
      <name val="Arial"/>
      <family val="0"/>
    </font>
    <font>
      <b/>
      <vertAlign val="subscript"/>
      <sz val="8"/>
      <name val="Arial"/>
      <family val="2"/>
    </font>
    <font>
      <i/>
      <sz val="9"/>
      <name val="Arial"/>
      <family val="2"/>
    </font>
    <font>
      <i/>
      <vertAlign val="subscript"/>
      <sz val="9"/>
      <name val="Arial"/>
      <family val="2"/>
    </font>
    <font>
      <b/>
      <sz val="14"/>
      <name val="Arial"/>
      <family val="2"/>
    </font>
    <font>
      <i/>
      <sz val="9"/>
      <name val="Symbol"/>
      <family val="1"/>
    </font>
    <font>
      <b/>
      <sz val="13"/>
      <name val="Arial"/>
      <family val="2"/>
    </font>
    <font>
      <sz val="7"/>
      <name val="Arial"/>
      <family val="0"/>
    </font>
    <font>
      <b/>
      <sz val="7"/>
      <name val="Arial"/>
      <family val="0"/>
    </font>
    <font>
      <sz val="6"/>
      <name val="Arial"/>
      <family val="0"/>
    </font>
    <font>
      <vertAlign val="superscript"/>
      <sz val="8"/>
      <name val="Tahoma"/>
      <family val="2"/>
    </font>
    <font>
      <b/>
      <vertAlign val="subscript"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0" borderId="0" applyNumberFormat="0" applyBorder="0" applyAlignment="0" applyProtection="0"/>
    <xf numFmtId="0" fontId="5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23" xfId="0" applyBorder="1" applyAlignment="1">
      <alignment horizontal="center" vertical="center"/>
    </xf>
    <xf numFmtId="9" fontId="0" fillId="0" borderId="24" xfId="0" applyNumberForma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0" fontId="0" fillId="0" borderId="0" xfId="0" applyBorder="1" applyAlignment="1" applyProtection="1">
      <alignment/>
      <protection hidden="1"/>
    </xf>
    <xf numFmtId="0" fontId="0" fillId="0" borderId="26" xfId="0" applyFont="1" applyFill="1" applyBorder="1" applyAlignment="1" applyProtection="1">
      <alignment horizontal="center" vertical="center"/>
      <protection hidden="1"/>
    </xf>
    <xf numFmtId="164" fontId="0" fillId="0" borderId="27" xfId="0" applyNumberFormat="1" applyBorder="1" applyAlignment="1" applyProtection="1">
      <alignment horizontal="center" vertical="center"/>
      <protection hidden="1"/>
    </xf>
    <xf numFmtId="164" fontId="0" fillId="0" borderId="28" xfId="0" applyNumberFormat="1" applyBorder="1" applyAlignment="1" applyProtection="1">
      <alignment horizontal="center" vertical="center"/>
      <protection hidden="1"/>
    </xf>
    <xf numFmtId="164" fontId="0" fillId="0" borderId="26" xfId="0" applyNumberFormat="1" applyBorder="1" applyAlignment="1" applyProtection="1">
      <alignment horizontal="center" vertical="center"/>
      <protection hidden="1"/>
    </xf>
    <xf numFmtId="3" fontId="0" fillId="0" borderId="27" xfId="0" applyNumberFormat="1" applyBorder="1" applyAlignment="1" applyProtection="1">
      <alignment horizontal="center" vertical="center"/>
      <protection hidden="1"/>
    </xf>
    <xf numFmtId="167" fontId="0" fillId="0" borderId="28" xfId="0" applyNumberFormat="1" applyBorder="1" applyAlignment="1" applyProtection="1">
      <alignment horizontal="center" vertical="center"/>
      <protection hidden="1"/>
    </xf>
    <xf numFmtId="3" fontId="0" fillId="0" borderId="26" xfId="0" applyNumberFormat="1" applyBorder="1" applyAlignment="1" applyProtection="1">
      <alignment horizontal="center" vertical="center"/>
      <protection hidden="1"/>
    </xf>
    <xf numFmtId="3" fontId="0" fillId="0" borderId="29" xfId="0" applyNumberFormat="1" applyBorder="1" applyAlignment="1" applyProtection="1">
      <alignment horizontal="center" vertical="center"/>
      <protection hidden="1"/>
    </xf>
    <xf numFmtId="3" fontId="0" fillId="0" borderId="30" xfId="0" applyNumberFormat="1" applyBorder="1" applyAlignment="1" applyProtection="1">
      <alignment horizontal="center" vertical="center"/>
      <protection hidden="1"/>
    </xf>
    <xf numFmtId="3" fontId="0" fillId="0" borderId="31" xfId="0" applyNumberFormat="1" applyBorder="1" applyAlignment="1" applyProtection="1">
      <alignment horizontal="center" vertical="center"/>
      <protection hidden="1"/>
    </xf>
    <xf numFmtId="166" fontId="0" fillId="0" borderId="29" xfId="0" applyNumberFormat="1" applyBorder="1" applyAlignment="1" applyProtection="1">
      <alignment horizontal="center" vertical="center"/>
      <protection hidden="1"/>
    </xf>
    <xf numFmtId="166" fontId="0" fillId="0" borderId="30" xfId="0" applyNumberFormat="1" applyBorder="1" applyAlignment="1" applyProtection="1">
      <alignment horizontal="center" vertical="center"/>
      <protection hidden="1"/>
    </xf>
    <xf numFmtId="166" fontId="0" fillId="0" borderId="31" xfId="0" applyNumberForma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3" fontId="0" fillId="0" borderId="32" xfId="0" applyNumberFormat="1" applyBorder="1" applyAlignment="1" applyProtection="1">
      <alignment horizontal="center" vertical="center"/>
      <protection hidden="1"/>
    </xf>
    <xf numFmtId="3" fontId="0" fillId="0" borderId="24" xfId="0" applyNumberFormat="1" applyBorder="1" applyAlignment="1" applyProtection="1">
      <alignment horizontal="center" vertical="center"/>
      <protection hidden="1"/>
    </xf>
    <xf numFmtId="3" fontId="0" fillId="0" borderId="23" xfId="0" applyNumberFormat="1" applyBorder="1" applyAlignment="1" applyProtection="1">
      <alignment horizontal="center" vertical="center"/>
      <protection hidden="1"/>
    </xf>
    <xf numFmtId="166" fontId="0" fillId="0" borderId="32" xfId="0" applyNumberFormat="1" applyBorder="1" applyAlignment="1" applyProtection="1">
      <alignment horizontal="center" vertical="center"/>
      <protection hidden="1"/>
    </xf>
    <xf numFmtId="166" fontId="0" fillId="0" borderId="24" xfId="0" applyNumberFormat="1" applyBorder="1" applyAlignment="1" applyProtection="1">
      <alignment horizontal="center" vertical="center"/>
      <protection hidden="1"/>
    </xf>
    <xf numFmtId="166" fontId="0" fillId="0" borderId="23" xfId="0" applyNumberFormat="1" applyBorder="1" applyAlignment="1" applyProtection="1">
      <alignment horizontal="center" vertical="center"/>
      <protection hidden="1"/>
    </xf>
    <xf numFmtId="0" fontId="0" fillId="0" borderId="33" xfId="0" applyFont="1" applyFill="1" applyBorder="1" applyAlignment="1" applyProtection="1">
      <alignment horizontal="center" vertical="center"/>
      <protection hidden="1"/>
    </xf>
    <xf numFmtId="3" fontId="0" fillId="0" borderId="34" xfId="0" applyNumberFormat="1" applyBorder="1" applyAlignment="1" applyProtection="1">
      <alignment horizontal="center" vertical="center"/>
      <protection hidden="1"/>
    </xf>
    <xf numFmtId="167" fontId="0" fillId="0" borderId="35" xfId="0" applyNumberFormat="1" applyBorder="1" applyAlignment="1" applyProtection="1">
      <alignment horizontal="center" vertical="center"/>
      <protection hidden="1"/>
    </xf>
    <xf numFmtId="3" fontId="0" fillId="0" borderId="33" xfId="0" applyNumberFormat="1" applyBorder="1" applyAlignment="1" applyProtection="1">
      <alignment horizontal="center" vertical="center"/>
      <protection hidden="1"/>
    </xf>
    <xf numFmtId="3" fontId="0" fillId="0" borderId="35" xfId="0" applyNumberFormat="1" applyBorder="1" applyAlignment="1" applyProtection="1">
      <alignment horizontal="center" vertical="center"/>
      <protection hidden="1"/>
    </xf>
    <xf numFmtId="166" fontId="0" fillId="0" borderId="34" xfId="0" applyNumberFormat="1" applyBorder="1" applyAlignment="1" applyProtection="1">
      <alignment horizontal="center" vertical="center"/>
      <protection hidden="1"/>
    </xf>
    <xf numFmtId="166" fontId="0" fillId="0" borderId="35" xfId="0" applyNumberFormat="1" applyBorder="1" applyAlignment="1" applyProtection="1">
      <alignment horizontal="center" vertical="center"/>
      <protection hidden="1"/>
    </xf>
    <xf numFmtId="166" fontId="0" fillId="0" borderId="33" xfId="0" applyNumberFormat="1" applyBorder="1" applyAlignment="1" applyProtection="1">
      <alignment horizontal="center" vertical="center"/>
      <protection hidden="1"/>
    </xf>
    <xf numFmtId="3" fontId="0" fillId="0" borderId="29" xfId="0" applyNumberFormat="1" applyFont="1" applyBorder="1" applyAlignment="1" applyProtection="1">
      <alignment horizontal="center" vertical="center"/>
      <protection hidden="1"/>
    </xf>
    <xf numFmtId="3" fontId="0" fillId="0" borderId="28" xfId="0" applyNumberFormat="1" applyFont="1" applyBorder="1" applyAlignment="1" applyProtection="1">
      <alignment horizontal="center" vertical="center"/>
      <protection hidden="1"/>
    </xf>
    <xf numFmtId="167" fontId="0" fillId="0" borderId="30" xfId="0" applyNumberFormat="1" applyFont="1" applyBorder="1" applyAlignment="1" applyProtection="1">
      <alignment horizontal="center" vertical="center"/>
      <protection hidden="1"/>
    </xf>
    <xf numFmtId="3" fontId="0" fillId="0" borderId="31" xfId="0" applyNumberFormat="1" applyFont="1" applyBorder="1" applyAlignment="1" applyProtection="1">
      <alignment horizontal="center" vertical="center"/>
      <protection hidden="1"/>
    </xf>
    <xf numFmtId="3" fontId="0" fillId="0" borderId="32" xfId="0" applyNumberFormat="1" applyFont="1" applyBorder="1" applyAlignment="1" applyProtection="1">
      <alignment horizontal="center" vertical="center"/>
      <protection hidden="1"/>
    </xf>
    <xf numFmtId="167" fontId="0" fillId="0" borderId="24" xfId="0" applyNumberFormat="1" applyFont="1" applyBorder="1" applyAlignment="1" applyProtection="1">
      <alignment horizontal="center" vertical="center"/>
      <protection hidden="1"/>
    </xf>
    <xf numFmtId="3" fontId="0" fillId="0" borderId="23" xfId="0" applyNumberFormat="1" applyFont="1" applyBorder="1" applyAlignment="1" applyProtection="1">
      <alignment horizontal="center" vertical="center"/>
      <protection hidden="1"/>
    </xf>
    <xf numFmtId="3" fontId="0" fillId="0" borderId="34" xfId="0" applyNumberFormat="1" applyFont="1" applyBorder="1" applyAlignment="1" applyProtection="1">
      <alignment horizontal="center" vertical="center"/>
      <protection hidden="1"/>
    </xf>
    <xf numFmtId="167" fontId="0" fillId="0" borderId="35" xfId="0" applyNumberFormat="1" applyFont="1" applyBorder="1" applyAlignment="1" applyProtection="1">
      <alignment horizontal="center" vertical="center"/>
      <protection hidden="1"/>
    </xf>
    <xf numFmtId="3" fontId="0" fillId="0" borderId="33" xfId="0" applyNumberFormat="1" applyFont="1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0" fillId="0" borderId="31" xfId="0" applyFont="1" applyFill="1" applyBorder="1" applyAlignment="1" applyProtection="1">
      <alignment horizontal="center" vertical="center"/>
      <protection hidden="1"/>
    </xf>
    <xf numFmtId="1" fontId="0" fillId="0" borderId="27" xfId="0" applyNumberForma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34" borderId="36" xfId="0" applyFill="1" applyBorder="1" applyAlignment="1" applyProtection="1">
      <alignment horizontal="center" vertical="center"/>
      <protection hidden="1" locked="0"/>
    </xf>
    <xf numFmtId="0" fontId="0" fillId="34" borderId="37" xfId="0" applyFill="1" applyBorder="1" applyAlignment="1" applyProtection="1">
      <alignment horizontal="center" vertical="center"/>
      <protection hidden="1" locked="0"/>
    </xf>
    <xf numFmtId="0" fontId="0" fillId="34" borderId="38" xfId="0" applyFill="1" applyBorder="1" applyAlignment="1" applyProtection="1">
      <alignment horizontal="center" vertical="center"/>
      <protection hidden="1" locked="0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39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1" fillId="0" borderId="26" xfId="0" applyFont="1" applyFill="1" applyBorder="1" applyAlignment="1" applyProtection="1">
      <alignment horizontal="center" vertical="center"/>
      <protection hidden="1"/>
    </xf>
    <xf numFmtId="0" fontId="1" fillId="0" borderId="28" xfId="0" applyFont="1" applyFill="1" applyBorder="1" applyAlignment="1" applyProtection="1">
      <alignment horizontal="center" vertical="center"/>
      <protection hidden="1"/>
    </xf>
    <xf numFmtId="0" fontId="1" fillId="0" borderId="24" xfId="0" applyFont="1" applyFill="1" applyBorder="1" applyAlignment="1" applyProtection="1">
      <alignment horizontal="center" vertical="center"/>
      <protection hidden="1"/>
    </xf>
    <xf numFmtId="0" fontId="1" fillId="0" borderId="33" xfId="0" applyFont="1" applyFill="1" applyBorder="1" applyAlignment="1" applyProtection="1">
      <alignment horizontal="center" vertical="center"/>
      <protection hidden="1"/>
    </xf>
    <xf numFmtId="0" fontId="1" fillId="0" borderId="35" xfId="0" applyFont="1" applyFill="1" applyBorder="1" applyAlignment="1" applyProtection="1">
      <alignment horizontal="center" vertical="center"/>
      <protection hidden="1"/>
    </xf>
    <xf numFmtId="0" fontId="1" fillId="0" borderId="40" xfId="0" applyFont="1" applyFill="1" applyBorder="1" applyAlignment="1" applyProtection="1">
      <alignment horizontal="center" vertical="center"/>
      <protection hidden="1"/>
    </xf>
    <xf numFmtId="0" fontId="1" fillId="0" borderId="37" xfId="0" applyFont="1" applyFill="1" applyBorder="1" applyAlignment="1" applyProtection="1">
      <alignment horizontal="center" vertical="center"/>
      <protection hidden="1"/>
    </xf>
    <xf numFmtId="0" fontId="1" fillId="0" borderId="38" xfId="0" applyFont="1" applyFill="1" applyBorder="1" applyAlignment="1" applyProtection="1">
      <alignment horizontal="center" vertical="center"/>
      <protection hidden="1"/>
    </xf>
    <xf numFmtId="3" fontId="1" fillId="0" borderId="29" xfId="0" applyNumberFormat="1" applyFont="1" applyBorder="1" applyAlignment="1" applyProtection="1">
      <alignment horizontal="center" vertical="center"/>
      <protection hidden="1"/>
    </xf>
    <xf numFmtId="3" fontId="1" fillId="0" borderId="28" xfId="0" applyNumberFormat="1" applyFont="1" applyBorder="1" applyAlignment="1" applyProtection="1">
      <alignment horizontal="center" vertical="center"/>
      <protection hidden="1"/>
    </xf>
    <xf numFmtId="167" fontId="1" fillId="0" borderId="30" xfId="0" applyNumberFormat="1" applyFont="1" applyBorder="1" applyAlignment="1" applyProtection="1">
      <alignment horizontal="center" vertical="center"/>
      <protection hidden="1"/>
    </xf>
    <xf numFmtId="3" fontId="1" fillId="0" borderId="32" xfId="0" applyNumberFormat="1" applyFont="1" applyBorder="1" applyAlignment="1" applyProtection="1">
      <alignment horizontal="center" vertical="center"/>
      <protection hidden="1"/>
    </xf>
    <xf numFmtId="167" fontId="1" fillId="0" borderId="24" xfId="0" applyNumberFormat="1" applyFont="1" applyBorder="1" applyAlignment="1" applyProtection="1">
      <alignment horizontal="center" vertical="center"/>
      <protection hidden="1"/>
    </xf>
    <xf numFmtId="3" fontId="1" fillId="0" borderId="34" xfId="0" applyNumberFormat="1" applyFont="1" applyBorder="1" applyAlignment="1" applyProtection="1">
      <alignment horizontal="center" vertical="center"/>
      <protection hidden="1"/>
    </xf>
    <xf numFmtId="167" fontId="1" fillId="0" borderId="35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vertical="center"/>
    </xf>
    <xf numFmtId="3" fontId="1" fillId="33" borderId="31" xfId="0" applyNumberFormat="1" applyFont="1" applyFill="1" applyBorder="1" applyAlignment="1" applyProtection="1">
      <alignment horizontal="center" vertical="center"/>
      <protection hidden="1"/>
    </xf>
    <xf numFmtId="3" fontId="1" fillId="33" borderId="23" xfId="0" applyNumberFormat="1" applyFont="1" applyFill="1" applyBorder="1" applyAlignment="1" applyProtection="1">
      <alignment horizontal="center" vertical="center"/>
      <protection hidden="1"/>
    </xf>
    <xf numFmtId="3" fontId="1" fillId="33" borderId="33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9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0" borderId="32" xfId="0" applyNumberFormat="1" applyBorder="1" applyAlignment="1" applyProtection="1">
      <alignment horizontal="center" vertical="center"/>
      <protection hidden="1"/>
    </xf>
    <xf numFmtId="164" fontId="0" fillId="0" borderId="24" xfId="0" applyNumberFormat="1" applyBorder="1" applyAlignment="1" applyProtection="1">
      <alignment horizontal="center" vertical="center"/>
      <protection hidden="1"/>
    </xf>
    <xf numFmtId="164" fontId="0" fillId="0" borderId="23" xfId="0" applyNumberFormat="1" applyBorder="1" applyAlignment="1" applyProtection="1">
      <alignment horizontal="center" vertical="center"/>
      <protection hidden="1"/>
    </xf>
    <xf numFmtId="164" fontId="0" fillId="0" borderId="41" xfId="0" applyNumberFormat="1" applyBorder="1" applyAlignment="1" applyProtection="1">
      <alignment horizontal="center" vertical="center"/>
      <protection hidden="1"/>
    </xf>
    <xf numFmtId="164" fontId="0" fillId="0" borderId="42" xfId="0" applyNumberFormat="1" applyBorder="1" applyAlignment="1" applyProtection="1">
      <alignment horizontal="center" vertical="center"/>
      <protection hidden="1"/>
    </xf>
    <xf numFmtId="164" fontId="0" fillId="0" borderId="43" xfId="0" applyNumberFormat="1" applyBorder="1" applyAlignment="1" applyProtection="1">
      <alignment horizontal="center" vertical="center"/>
      <protection hidden="1"/>
    </xf>
    <xf numFmtId="0" fontId="0" fillId="33" borderId="12" xfId="0" applyFont="1" applyFill="1" applyBorder="1" applyAlignment="1">
      <alignment horizontal="center" vertical="center" wrapText="1"/>
    </xf>
    <xf numFmtId="167" fontId="0" fillId="0" borderId="24" xfId="0" applyNumberFormat="1" applyBorder="1" applyAlignment="1" applyProtection="1">
      <alignment horizontal="center" vertical="center"/>
      <protection hidden="1"/>
    </xf>
    <xf numFmtId="1" fontId="0" fillId="0" borderId="32" xfId="0" applyNumberFormat="1" applyFill="1" applyBorder="1" applyAlignment="1" applyProtection="1">
      <alignment horizontal="center" vertical="center"/>
      <protection hidden="1"/>
    </xf>
    <xf numFmtId="3" fontId="0" fillId="0" borderId="41" xfId="0" applyNumberFormat="1" applyBorder="1" applyAlignment="1" applyProtection="1">
      <alignment horizontal="center" vertical="center"/>
      <protection hidden="1"/>
    </xf>
    <xf numFmtId="1" fontId="0" fillId="0" borderId="41" xfId="0" applyNumberForma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2" fillId="0" borderId="0" xfId="0" applyNumberFormat="1" applyFont="1" applyFill="1" applyBorder="1" applyAlignment="1" applyProtection="1">
      <alignment vertical="center"/>
      <protection hidden="1"/>
    </xf>
    <xf numFmtId="14" fontId="2" fillId="0" borderId="0" xfId="0" applyNumberFormat="1" applyFont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/>
      <protection hidden="1"/>
    </xf>
    <xf numFmtId="0" fontId="15" fillId="0" borderId="0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2" fontId="2" fillId="0" borderId="0" xfId="0" applyNumberFormat="1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1" fillId="33" borderId="12" xfId="0" applyFont="1" applyFill="1" applyBorder="1" applyAlignment="1" applyProtection="1">
      <alignment horizontal="center" vertical="center" wrapText="1"/>
      <protection hidden="1"/>
    </xf>
    <xf numFmtId="0" fontId="1" fillId="33" borderId="13" xfId="0" applyFont="1" applyFill="1" applyBorder="1" applyAlignment="1" applyProtection="1">
      <alignment horizontal="center" vertical="center" wrapText="1"/>
      <protection hidden="1"/>
    </xf>
    <xf numFmtId="0" fontId="1" fillId="33" borderId="15" xfId="0" applyFont="1" applyFill="1" applyBorder="1" applyAlignment="1" applyProtection="1">
      <alignment horizontal="center" vertical="center" wrapText="1"/>
      <protection hidden="1"/>
    </xf>
    <xf numFmtId="0" fontId="18" fillId="33" borderId="15" xfId="0" applyFont="1" applyFill="1" applyBorder="1" applyAlignment="1" applyProtection="1">
      <alignment horizontal="center" vertical="center" wrapText="1"/>
      <protection hidden="1"/>
    </xf>
    <xf numFmtId="0" fontId="18" fillId="33" borderId="16" xfId="0" applyFont="1" applyFill="1" applyBorder="1" applyAlignment="1" applyProtection="1">
      <alignment horizontal="center" vertical="center" wrapText="1"/>
      <protection hidden="1"/>
    </xf>
    <xf numFmtId="0" fontId="18" fillId="33" borderId="17" xfId="0" applyFont="1" applyFill="1" applyBorder="1" applyAlignment="1" applyProtection="1">
      <alignment horizontal="center" vertical="center" wrapText="1"/>
      <protection hidden="1"/>
    </xf>
    <xf numFmtId="0" fontId="18" fillId="33" borderId="15" xfId="0" applyFont="1" applyFill="1" applyBorder="1" applyAlignment="1" applyProtection="1">
      <alignment horizontal="center" vertical="center"/>
      <protection hidden="1"/>
    </xf>
    <xf numFmtId="0" fontId="1" fillId="33" borderId="20" xfId="0" applyFont="1" applyFill="1" applyBorder="1" applyAlignment="1" applyProtection="1">
      <alignment horizontal="center" vertical="center" wrapText="1"/>
      <protection hidden="1"/>
    </xf>
    <xf numFmtId="0" fontId="1" fillId="33" borderId="21" xfId="0" applyFont="1" applyFill="1" applyBorder="1" applyAlignment="1" applyProtection="1">
      <alignment horizontal="center" vertical="center" wrapText="1"/>
      <protection hidden="1"/>
    </xf>
    <xf numFmtId="0" fontId="1" fillId="33" borderId="19" xfId="0" applyFont="1" applyFill="1" applyBorder="1" applyAlignment="1" applyProtection="1">
      <alignment horizontal="center" vertical="center" wrapText="1"/>
      <protection hidden="1"/>
    </xf>
    <xf numFmtId="0" fontId="22" fillId="33" borderId="44" xfId="0" applyFont="1" applyFill="1" applyBorder="1" applyAlignment="1" applyProtection="1">
      <alignment horizontal="center" vertical="center"/>
      <protection hidden="1"/>
    </xf>
    <xf numFmtId="0" fontId="22" fillId="33" borderId="45" xfId="0" applyFont="1" applyFill="1" applyBorder="1" applyAlignment="1" applyProtection="1">
      <alignment horizontal="center" vertical="center"/>
      <protection hidden="1"/>
    </xf>
    <xf numFmtId="0" fontId="22" fillId="33" borderId="46" xfId="0" applyFont="1" applyFill="1" applyBorder="1" applyAlignment="1" applyProtection="1">
      <alignment horizontal="center" vertical="center"/>
      <protection hidden="1"/>
    </xf>
    <xf numFmtId="3" fontId="22" fillId="33" borderId="25" xfId="0" applyNumberFormat="1" applyFont="1" applyFill="1" applyBorder="1" applyAlignment="1" applyProtection="1">
      <alignment horizontal="center" vertical="center"/>
      <protection hidden="1"/>
    </xf>
    <xf numFmtId="3" fontId="2" fillId="33" borderId="25" xfId="0" applyNumberFormat="1" applyFont="1" applyFill="1" applyBorder="1" applyAlignment="1" applyProtection="1">
      <alignment horizontal="center" vertical="center"/>
      <protection hidden="1"/>
    </xf>
    <xf numFmtId="3" fontId="1" fillId="0" borderId="28" xfId="0" applyNumberFormat="1" applyFont="1" applyFill="1" applyBorder="1" applyAlignment="1" applyProtection="1">
      <alignment horizontal="center" vertical="center"/>
      <protection hidden="1"/>
    </xf>
    <xf numFmtId="3" fontId="1" fillId="0" borderId="24" xfId="0" applyNumberFormat="1" applyFont="1" applyFill="1" applyBorder="1" applyAlignment="1" applyProtection="1">
      <alignment horizontal="center" vertical="center"/>
      <protection hidden="1"/>
    </xf>
    <xf numFmtId="3" fontId="1" fillId="0" borderId="35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/>
      <protection hidden="1"/>
    </xf>
    <xf numFmtId="164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0" fillId="34" borderId="31" xfId="0" applyFill="1" applyBorder="1" applyAlignment="1" applyProtection="1">
      <alignment horizontal="center" vertical="center"/>
      <protection locked="0"/>
    </xf>
    <xf numFmtId="0" fontId="0" fillId="34" borderId="36" xfId="0" applyFill="1" applyBorder="1" applyAlignment="1" applyProtection="1">
      <alignment horizontal="center" vertical="center"/>
      <protection locked="0"/>
    </xf>
    <xf numFmtId="0" fontId="0" fillId="34" borderId="29" xfId="0" applyFill="1" applyBorder="1" applyAlignment="1" applyProtection="1">
      <alignment horizontal="center" vertical="center"/>
      <protection locked="0"/>
    </xf>
    <xf numFmtId="0" fontId="0" fillId="34" borderId="23" xfId="0" applyFill="1" applyBorder="1" applyAlignment="1" applyProtection="1">
      <alignment horizontal="center" vertical="center"/>
      <protection locked="0"/>
    </xf>
    <xf numFmtId="0" fontId="0" fillId="34" borderId="37" xfId="0" applyFill="1" applyBorder="1" applyAlignment="1" applyProtection="1">
      <alignment horizontal="center" vertical="center"/>
      <protection locked="0"/>
    </xf>
    <xf numFmtId="0" fontId="0" fillId="34" borderId="24" xfId="0" applyFill="1" applyBorder="1" applyAlignment="1" applyProtection="1">
      <alignment horizontal="center" vertical="center"/>
      <protection locked="0"/>
    </xf>
    <xf numFmtId="0" fontId="0" fillId="34" borderId="32" xfId="0" applyFill="1" applyBorder="1" applyAlignment="1" applyProtection="1">
      <alignment horizontal="center" vertical="center"/>
      <protection locked="0"/>
    </xf>
    <xf numFmtId="0" fontId="0" fillId="34" borderId="33" xfId="0" applyFill="1" applyBorder="1" applyAlignment="1" applyProtection="1">
      <alignment horizontal="center" vertical="center"/>
      <protection locked="0"/>
    </xf>
    <xf numFmtId="0" fontId="0" fillId="34" borderId="38" xfId="0" applyFill="1" applyBorder="1" applyAlignment="1" applyProtection="1">
      <alignment horizontal="center" vertical="center"/>
      <protection locked="0"/>
    </xf>
    <xf numFmtId="0" fontId="0" fillId="34" borderId="35" xfId="0" applyFill="1" applyBorder="1" applyAlignment="1" applyProtection="1">
      <alignment horizontal="center" vertical="center"/>
      <protection locked="0"/>
    </xf>
    <xf numFmtId="0" fontId="0" fillId="34" borderId="34" xfId="0" applyFill="1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/>
      <protection hidden="1"/>
    </xf>
    <xf numFmtId="0" fontId="0" fillId="0" borderId="50" xfId="0" applyBorder="1" applyAlignment="1" applyProtection="1">
      <alignment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0" fontId="0" fillId="0" borderId="51" xfId="0" applyFill="1" applyBorder="1" applyAlignment="1" applyProtection="1">
      <alignment horizontal="center" vertical="center"/>
      <protection hidden="1"/>
    </xf>
    <xf numFmtId="2" fontId="0" fillId="0" borderId="23" xfId="0" applyNumberFormat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51" xfId="0" applyFill="1" applyBorder="1" applyAlignment="1" applyProtection="1">
      <alignment vertical="center"/>
      <protection hidden="1"/>
    </xf>
    <xf numFmtId="0" fontId="5" fillId="0" borderId="0" xfId="0" applyFont="1" applyAlignment="1">
      <alignment horizontal="center"/>
    </xf>
    <xf numFmtId="0" fontId="29" fillId="0" borderId="0" xfId="0" applyFont="1" applyAlignment="1" applyProtection="1">
      <alignment horizontal="center"/>
      <protection hidden="1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2" fillId="0" borderId="0" xfId="0" applyFont="1" applyAlignment="1">
      <alignment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34" borderId="52" xfId="0" applyFill="1" applyBorder="1" applyAlignment="1" applyProtection="1">
      <alignment horizontal="center" vertical="center"/>
      <protection locked="0"/>
    </xf>
    <xf numFmtId="0" fontId="0" fillId="34" borderId="53" xfId="0" applyFill="1" applyBorder="1" applyAlignment="1" applyProtection="1">
      <alignment horizontal="center" vertical="center"/>
      <protection locked="0"/>
    </xf>
    <xf numFmtId="0" fontId="0" fillId="34" borderId="40" xfId="0" applyFill="1" applyBorder="1" applyAlignment="1" applyProtection="1">
      <alignment horizontal="center" vertical="center"/>
      <protection locked="0"/>
    </xf>
    <xf numFmtId="0" fontId="0" fillId="34" borderId="54" xfId="0" applyFill="1" applyBorder="1" applyAlignment="1" applyProtection="1">
      <alignment horizontal="center" vertical="center"/>
      <protection locked="0"/>
    </xf>
    <xf numFmtId="0" fontId="0" fillId="34" borderId="50" xfId="0" applyFill="1" applyBorder="1" applyAlignment="1" applyProtection="1">
      <alignment horizontal="center" vertical="center"/>
      <protection locked="0"/>
    </xf>
    <xf numFmtId="2" fontId="2" fillId="0" borderId="0" xfId="0" applyNumberFormat="1" applyFont="1" applyAlignment="1" applyProtection="1">
      <alignment horizontal="left" vertical="center"/>
      <protection hidden="1"/>
    </xf>
    <xf numFmtId="0" fontId="2" fillId="0" borderId="0" xfId="0" applyNumberFormat="1" applyFont="1" applyFill="1" applyBorder="1" applyAlignment="1" applyProtection="1">
      <alignment horizontal="left" vertical="center"/>
      <protection hidden="1"/>
    </xf>
    <xf numFmtId="0" fontId="32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33" fillId="0" borderId="0" xfId="0" applyFont="1" applyAlignment="1">
      <alignment vertical="center"/>
    </xf>
    <xf numFmtId="0" fontId="2" fillId="34" borderId="51" xfId="0" applyFont="1" applyFill="1" applyBorder="1" applyAlignment="1" applyProtection="1">
      <alignment horizontal="left" vertical="center"/>
      <protection locked="0"/>
    </xf>
    <xf numFmtId="0" fontId="0" fillId="0" borderId="55" xfId="0" applyFont="1" applyBorder="1" applyAlignment="1">
      <alignment horizontal="left" vertical="center"/>
    </xf>
    <xf numFmtId="0" fontId="0" fillId="0" borderId="48" xfId="0" applyFont="1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51" xfId="0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51" xfId="0" applyFill="1" applyBorder="1" applyAlignment="1" applyProtection="1">
      <alignment horizontal="center" vertical="center"/>
      <protection locked="0"/>
    </xf>
    <xf numFmtId="0" fontId="0" fillId="0" borderId="50" xfId="0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4" borderId="51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hidden="1"/>
    </xf>
    <xf numFmtId="0" fontId="0" fillId="0" borderId="51" xfId="0" applyFill="1" applyBorder="1" applyAlignment="1" applyProtection="1">
      <alignment horizontal="center" vertical="center"/>
      <protection hidden="1"/>
    </xf>
    <xf numFmtId="0" fontId="0" fillId="0" borderId="50" xfId="0" applyFill="1" applyBorder="1" applyAlignment="1" applyProtection="1">
      <alignment horizontal="center" vertical="center"/>
      <protection hidden="1"/>
    </xf>
    <xf numFmtId="164" fontId="0" fillId="0" borderId="58" xfId="0" applyNumberFormat="1" applyFill="1" applyBorder="1" applyAlignment="1" applyProtection="1">
      <alignment horizontal="center" vertical="center"/>
      <protection hidden="1"/>
    </xf>
    <xf numFmtId="164" fontId="0" fillId="0" borderId="59" xfId="0" applyNumberFormat="1" applyFill="1" applyBorder="1" applyAlignment="1" applyProtection="1">
      <alignment horizontal="center" vertical="center"/>
      <protection hidden="1"/>
    </xf>
    <xf numFmtId="164" fontId="0" fillId="0" borderId="60" xfId="0" applyNumberFormat="1" applyFill="1" applyBorder="1" applyAlignment="1" applyProtection="1">
      <alignment horizontal="center" vertical="center"/>
      <protection hidden="1"/>
    </xf>
    <xf numFmtId="0" fontId="0" fillId="0" borderId="61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33" borderId="32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3" borderId="62" xfId="0" applyFill="1" applyBorder="1" applyAlignment="1">
      <alignment horizontal="center" vertical="center"/>
    </xf>
    <xf numFmtId="0" fontId="0" fillId="33" borderId="63" xfId="0" applyFill="1" applyBorder="1" applyAlignment="1">
      <alignment horizontal="center" vertical="center"/>
    </xf>
    <xf numFmtId="0" fontId="0" fillId="33" borderId="64" xfId="0" applyFill="1" applyBorder="1" applyAlignment="1">
      <alignment horizontal="center" vertical="center"/>
    </xf>
    <xf numFmtId="0" fontId="0" fillId="0" borderId="32" xfId="0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32" xfId="0" applyBorder="1" applyAlignment="1">
      <alignment vertical="center"/>
    </xf>
    <xf numFmtId="164" fontId="0" fillId="0" borderId="24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0" fontId="2" fillId="33" borderId="65" xfId="0" applyFont="1" applyFill="1" applyBorder="1" applyAlignment="1">
      <alignment horizontal="center" vertical="center"/>
    </xf>
    <xf numFmtId="0" fontId="2" fillId="33" borderId="66" xfId="0" applyFont="1" applyFill="1" applyBorder="1" applyAlignment="1">
      <alignment horizontal="center" vertical="center"/>
    </xf>
    <xf numFmtId="0" fontId="2" fillId="33" borderId="67" xfId="0" applyFont="1" applyFill="1" applyBorder="1" applyAlignment="1">
      <alignment horizontal="center" vertical="center"/>
    </xf>
    <xf numFmtId="0" fontId="2" fillId="33" borderId="68" xfId="0" applyFont="1" applyFill="1" applyBorder="1" applyAlignment="1">
      <alignment horizontal="center" vertical="center"/>
    </xf>
    <xf numFmtId="0" fontId="2" fillId="33" borderId="69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34" borderId="54" xfId="0" applyFont="1" applyFill="1" applyBorder="1" applyAlignment="1" applyProtection="1">
      <alignment horizontal="left" vertical="center"/>
      <protection locked="0"/>
    </xf>
    <xf numFmtId="0" fontId="31" fillId="0" borderId="0" xfId="0" applyFont="1" applyAlignment="1">
      <alignment horizontal="left"/>
    </xf>
    <xf numFmtId="0" fontId="2" fillId="0" borderId="65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0" fillId="33" borderId="70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71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55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33" borderId="49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72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1" fillId="33" borderId="63" xfId="0" applyFont="1" applyFill="1" applyBorder="1" applyAlignment="1" applyProtection="1">
      <alignment horizontal="center" vertical="center"/>
      <protection hidden="1"/>
    </xf>
    <xf numFmtId="0" fontId="1" fillId="33" borderId="63" xfId="0" applyFont="1" applyFill="1" applyBorder="1" applyAlignment="1" applyProtection="1">
      <alignment horizontal="center" vertical="center" wrapText="1"/>
      <protection hidden="1"/>
    </xf>
    <xf numFmtId="0" fontId="1" fillId="33" borderId="12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1" fillId="33" borderId="62" xfId="0" applyFont="1" applyFill="1" applyBorder="1" applyAlignment="1" applyProtection="1">
      <alignment horizontal="center" vertical="center" wrapText="1"/>
      <protection hidden="1"/>
    </xf>
    <xf numFmtId="0" fontId="1" fillId="33" borderId="32" xfId="0" applyFont="1" applyFill="1" applyBorder="1" applyAlignment="1" applyProtection="1">
      <alignment horizontal="center" vertical="center" wrapText="1"/>
      <protection hidden="1"/>
    </xf>
    <xf numFmtId="0" fontId="1" fillId="33" borderId="73" xfId="0" applyFont="1" applyFill="1" applyBorder="1" applyAlignment="1" applyProtection="1">
      <alignment horizontal="center" vertical="center" wrapText="1"/>
      <protection hidden="1"/>
    </xf>
    <xf numFmtId="0" fontId="1" fillId="33" borderId="24" xfId="0" applyFont="1" applyFill="1" applyBorder="1" applyAlignment="1" applyProtection="1">
      <alignment horizontal="center" vertical="center" wrapText="1"/>
      <protection hidden="1"/>
    </xf>
    <xf numFmtId="0" fontId="1" fillId="33" borderId="74" xfId="0" applyFont="1" applyFill="1" applyBorder="1" applyAlignment="1" applyProtection="1">
      <alignment horizontal="center" vertical="center" wrapText="1"/>
      <protection hidden="1"/>
    </xf>
    <xf numFmtId="14" fontId="2" fillId="0" borderId="0" xfId="0" applyNumberFormat="1" applyFont="1" applyAlignment="1" applyProtection="1">
      <alignment horizontal="left" vertical="center"/>
      <protection hidden="1"/>
    </xf>
    <xf numFmtId="0" fontId="22" fillId="33" borderId="65" xfId="0" applyFont="1" applyFill="1" applyBorder="1" applyAlignment="1" applyProtection="1">
      <alignment horizontal="center" vertical="center"/>
      <protection hidden="1"/>
    </xf>
    <xf numFmtId="0" fontId="22" fillId="33" borderId="69" xfId="0" applyFont="1" applyFill="1" applyBorder="1" applyAlignment="1" applyProtection="1">
      <alignment horizontal="center" vertical="center"/>
      <protection hidden="1"/>
    </xf>
    <xf numFmtId="0" fontId="22" fillId="33" borderId="75" xfId="0" applyFont="1" applyFill="1" applyBorder="1" applyAlignment="1" applyProtection="1">
      <alignment horizontal="center" vertical="center"/>
      <protection hidden="1"/>
    </xf>
    <xf numFmtId="0" fontId="22" fillId="33" borderId="76" xfId="0" applyFont="1" applyFill="1" applyBorder="1" applyAlignment="1" applyProtection="1">
      <alignment horizontal="center" vertical="center"/>
      <protection hidden="1"/>
    </xf>
    <xf numFmtId="0" fontId="1" fillId="33" borderId="71" xfId="0" applyFont="1" applyFill="1" applyBorder="1" applyAlignment="1" applyProtection="1">
      <alignment horizontal="center" vertical="center" wrapText="1"/>
      <protection hidden="1"/>
    </xf>
    <xf numFmtId="0" fontId="1" fillId="33" borderId="17" xfId="0" applyFont="1" applyFill="1" applyBorder="1" applyAlignment="1" applyProtection="1">
      <alignment horizontal="center" vertical="center" wrapText="1"/>
      <protection hidden="1"/>
    </xf>
    <xf numFmtId="0" fontId="1" fillId="33" borderId="72" xfId="0" applyFont="1" applyFill="1" applyBorder="1" applyAlignment="1" applyProtection="1">
      <alignment horizontal="center" vertical="center" wrapText="1"/>
      <protection hidden="1"/>
    </xf>
    <xf numFmtId="0" fontId="1" fillId="33" borderId="15" xfId="0" applyFont="1" applyFill="1" applyBorder="1" applyAlignment="1" applyProtection="1">
      <alignment horizontal="center" vertical="center" wrapText="1"/>
      <protection hidden="1"/>
    </xf>
    <xf numFmtId="0" fontId="1" fillId="33" borderId="12" xfId="0" applyFont="1" applyFill="1" applyBorder="1" applyAlignment="1" applyProtection="1">
      <alignment horizontal="center" vertical="center"/>
      <protection hidden="1"/>
    </xf>
    <xf numFmtId="0" fontId="1" fillId="33" borderId="70" xfId="0" applyFont="1" applyFill="1" applyBorder="1" applyAlignment="1" applyProtection="1">
      <alignment horizontal="center" vertical="center" wrapText="1"/>
      <protection hidden="1"/>
    </xf>
    <xf numFmtId="0" fontId="1" fillId="33" borderId="16" xfId="0" applyFont="1" applyFill="1" applyBorder="1" applyAlignment="1" applyProtection="1">
      <alignment horizontal="center" vertical="center" wrapText="1"/>
      <protection hidden="1"/>
    </xf>
    <xf numFmtId="0" fontId="1" fillId="33" borderId="64" xfId="0" applyFont="1" applyFill="1" applyBorder="1" applyAlignment="1" applyProtection="1">
      <alignment horizontal="center" vertical="center"/>
      <protection hidden="1"/>
    </xf>
    <xf numFmtId="0" fontId="34" fillId="0" borderId="0" xfId="0" applyFont="1" applyAlignment="1" applyProtection="1">
      <alignment horizontal="right"/>
      <protection hidden="1"/>
    </xf>
    <xf numFmtId="0" fontId="34" fillId="0" borderId="77" xfId="0" applyFont="1" applyBorder="1" applyAlignment="1" applyProtection="1">
      <alignment horizontal="right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font>
        <color indexed="22"/>
      </font>
    </dxf>
    <dxf>
      <font>
        <b/>
        <i val="0"/>
      </font>
    </dxf>
    <dxf>
      <font>
        <color indexed="22"/>
      </font>
    </dxf>
    <dxf>
      <font>
        <b/>
        <i val="0"/>
      </font>
    </dxf>
    <dxf>
      <font>
        <color indexed="22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94"/>
  <sheetViews>
    <sheetView showGridLines="0" tabSelected="1" zoomScaleSheetLayoutView="115" zoomScalePageLayoutView="0" workbookViewId="0" topLeftCell="A1">
      <selection activeCell="F17" sqref="F17:H17"/>
    </sheetView>
  </sheetViews>
  <sheetFormatPr defaultColWidth="9.140625" defaultRowHeight="12.75"/>
  <cols>
    <col min="1" max="1" width="3.7109375" style="0" customWidth="1"/>
    <col min="2" max="2" width="9.7109375" style="0" customWidth="1"/>
    <col min="9" max="9" width="3.421875" style="0" customWidth="1"/>
    <col min="10" max="15" width="9.140625" style="175" customWidth="1"/>
    <col min="16" max="16" width="14.00390625" style="175" customWidth="1"/>
    <col min="17" max="26" width="9.140625" style="175" customWidth="1"/>
  </cols>
  <sheetData>
    <row r="1" ht="12.75"/>
    <row r="2" spans="1:9" ht="16.5">
      <c r="A2" s="173"/>
      <c r="B2" s="247" t="s">
        <v>48</v>
      </c>
      <c r="C2" s="247"/>
      <c r="D2" s="247"/>
      <c r="E2" s="247"/>
      <c r="F2" s="247"/>
      <c r="G2" s="247"/>
      <c r="H2" s="247"/>
      <c r="I2" s="173"/>
    </row>
    <row r="3" ht="12.75"/>
    <row r="4" spans="2:8" ht="15" customHeight="1">
      <c r="B4" s="95" t="s">
        <v>132</v>
      </c>
      <c r="C4" s="246"/>
      <c r="D4" s="246"/>
      <c r="E4" s="246"/>
      <c r="F4" s="246"/>
      <c r="G4" s="246"/>
      <c r="H4" s="246"/>
    </row>
    <row r="5" spans="2:8" ht="15" customHeight="1">
      <c r="B5" s="95" t="s">
        <v>153</v>
      </c>
      <c r="C5" s="194"/>
      <c r="D5" s="194"/>
      <c r="E5" s="194"/>
      <c r="F5" s="194"/>
      <c r="G5" s="194"/>
      <c r="H5" s="194"/>
    </row>
    <row r="6" spans="2:8" ht="15" customHeight="1">
      <c r="B6" s="95" t="s">
        <v>154</v>
      </c>
      <c r="C6" s="194"/>
      <c r="D6" s="194"/>
      <c r="E6" s="194"/>
      <c r="F6" s="194"/>
      <c r="G6" s="194"/>
      <c r="H6" s="194"/>
    </row>
    <row r="7" spans="2:9" ht="15" customHeight="1">
      <c r="B7" s="94" t="s">
        <v>162</v>
      </c>
      <c r="D7" s="194"/>
      <c r="E7" s="194"/>
      <c r="F7" s="194"/>
      <c r="G7" s="194"/>
      <c r="H7" s="194"/>
      <c r="I7" s="90"/>
    </row>
    <row r="8" ht="15" customHeight="1"/>
    <row r="9" spans="2:26" s="2" customFormat="1" ht="9.75" customHeight="1">
      <c r="B9" s="191" t="s">
        <v>190</v>
      </c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</row>
    <row r="10" spans="2:26" s="2" customFormat="1" ht="9.75" customHeight="1">
      <c r="B10" s="193" t="s">
        <v>191</v>
      </c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</row>
    <row r="11" ht="15" customHeight="1" thickBot="1"/>
    <row r="12" spans="2:8" ht="17.25" customHeight="1">
      <c r="B12" s="195" t="s">
        <v>75</v>
      </c>
      <c r="C12" s="196"/>
      <c r="D12" s="196"/>
      <c r="E12" s="196"/>
      <c r="F12" s="164"/>
      <c r="G12" s="165"/>
      <c r="H12" s="166"/>
    </row>
    <row r="13" spans="2:8" ht="17.25" customHeight="1">
      <c r="B13" s="197" t="s">
        <v>70</v>
      </c>
      <c r="C13" s="198"/>
      <c r="D13" s="198"/>
      <c r="E13" s="198"/>
      <c r="F13" s="201"/>
      <c r="G13" s="202"/>
      <c r="H13" s="167"/>
    </row>
    <row r="14" spans="2:8" ht="17.25" customHeight="1">
      <c r="B14" s="199" t="s">
        <v>72</v>
      </c>
      <c r="C14" s="200"/>
      <c r="D14" s="200"/>
      <c r="E14" s="200"/>
      <c r="F14" s="201"/>
      <c r="G14" s="202"/>
      <c r="H14" s="167"/>
    </row>
    <row r="15" spans="2:8" ht="17.25" customHeight="1">
      <c r="B15" s="197" t="s">
        <v>104</v>
      </c>
      <c r="C15" s="198"/>
      <c r="D15" s="198"/>
      <c r="E15" s="198"/>
      <c r="F15" s="168"/>
      <c r="G15" s="169"/>
      <c r="H15" s="167"/>
    </row>
    <row r="16" spans="2:8" ht="17.25" customHeight="1">
      <c r="B16" s="197" t="s">
        <v>175</v>
      </c>
      <c r="C16" s="198"/>
      <c r="D16" s="198"/>
      <c r="E16" s="198"/>
      <c r="F16" s="168"/>
      <c r="G16" s="169"/>
      <c r="H16" s="167"/>
    </row>
    <row r="17" spans="2:8" ht="17.25" customHeight="1">
      <c r="B17" s="197" t="s">
        <v>151</v>
      </c>
      <c r="C17" s="198"/>
      <c r="D17" s="198"/>
      <c r="E17" s="198"/>
      <c r="F17" s="203">
        <f>49+52+45</f>
        <v>146</v>
      </c>
      <c r="G17" s="204"/>
      <c r="H17" s="205"/>
    </row>
    <row r="18" spans="2:8" ht="17.25" customHeight="1">
      <c r="B18" s="197" t="s">
        <v>105</v>
      </c>
      <c r="C18" s="198"/>
      <c r="D18" s="198"/>
      <c r="E18" s="198"/>
      <c r="F18" s="206">
        <v>10</v>
      </c>
      <c r="G18" s="207"/>
      <c r="H18" s="170">
        <f>$F$18/3600*1000</f>
        <v>2.7777777777777777</v>
      </c>
    </row>
    <row r="19" spans="2:8" ht="17.25" customHeight="1">
      <c r="B19" s="197" t="s">
        <v>88</v>
      </c>
      <c r="C19" s="198"/>
      <c r="D19" s="198"/>
      <c r="E19" s="198"/>
      <c r="F19" s="171"/>
      <c r="G19" s="172"/>
      <c r="H19" s="167"/>
    </row>
    <row r="20" spans="2:8" ht="17.25" customHeight="1">
      <c r="B20" s="197" t="s">
        <v>106</v>
      </c>
      <c r="C20" s="198"/>
      <c r="D20" s="198"/>
      <c r="E20" s="198"/>
      <c r="F20" s="208">
        <f>VLOOKUP(data!R3,data!S3:X10,6)</f>
        <v>0.5</v>
      </c>
      <c r="G20" s="209"/>
      <c r="H20" s="210"/>
    </row>
    <row r="21" spans="2:8" ht="17.25" customHeight="1" thickBot="1">
      <c r="B21" s="214" t="s">
        <v>100</v>
      </c>
      <c r="C21" s="215"/>
      <c r="D21" s="215"/>
      <c r="E21" s="215"/>
      <c r="F21" s="211">
        <f>$F$20^-1</f>
        <v>2</v>
      </c>
      <c r="G21" s="212"/>
      <c r="H21" s="213"/>
    </row>
    <row r="22" ht="12.75"/>
    <row r="23" ht="3.75" customHeight="1"/>
    <row r="24" ht="15" customHeight="1">
      <c r="B24" s="17" t="s">
        <v>49</v>
      </c>
    </row>
    <row r="25" ht="3.75" customHeight="1" thickBot="1"/>
    <row r="26" spans="2:8" ht="15" customHeight="1" thickBot="1">
      <c r="B26" s="237" t="s">
        <v>50</v>
      </c>
      <c r="C26" s="238"/>
      <c r="D26" s="238"/>
      <c r="E26" s="238"/>
      <c r="F26" s="239"/>
      <c r="G26" s="240" t="s">
        <v>51</v>
      </c>
      <c r="H26" s="241"/>
    </row>
    <row r="27" spans="2:8" ht="15" customHeight="1">
      <c r="B27" s="242" t="s">
        <v>166</v>
      </c>
      <c r="C27" s="243"/>
      <c r="D27" s="243"/>
      <c r="E27" s="243"/>
      <c r="F27" s="243"/>
      <c r="G27" s="244">
        <v>0.2</v>
      </c>
      <c r="H27" s="245"/>
    </row>
    <row r="28" spans="2:8" ht="15" customHeight="1">
      <c r="B28" s="234" t="s">
        <v>167</v>
      </c>
      <c r="C28" s="233"/>
      <c r="D28" s="233"/>
      <c r="E28" s="233"/>
      <c r="F28" s="233"/>
      <c r="G28" s="227">
        <v>0.3</v>
      </c>
      <c r="H28" s="228"/>
    </row>
    <row r="29" spans="2:8" ht="15" customHeight="1">
      <c r="B29" s="234" t="s">
        <v>168</v>
      </c>
      <c r="C29" s="233"/>
      <c r="D29" s="233"/>
      <c r="E29" s="233"/>
      <c r="F29" s="233"/>
      <c r="G29" s="227">
        <v>0.4</v>
      </c>
      <c r="H29" s="228"/>
    </row>
    <row r="30" spans="2:8" ht="15" customHeight="1">
      <c r="B30" s="234" t="s">
        <v>169</v>
      </c>
      <c r="C30" s="233"/>
      <c r="D30" s="233"/>
      <c r="E30" s="233"/>
      <c r="F30" s="233"/>
      <c r="G30" s="227">
        <v>0.5</v>
      </c>
      <c r="H30" s="228"/>
    </row>
    <row r="31" spans="2:8" ht="15" customHeight="1">
      <c r="B31" s="234" t="s">
        <v>52</v>
      </c>
      <c r="C31" s="233"/>
      <c r="D31" s="233"/>
      <c r="E31" s="233"/>
      <c r="F31" s="233"/>
      <c r="G31" s="227">
        <v>0.5</v>
      </c>
      <c r="H31" s="228"/>
    </row>
    <row r="32" spans="2:8" ht="30" customHeight="1">
      <c r="B32" s="232" t="s">
        <v>53</v>
      </c>
      <c r="C32" s="233"/>
      <c r="D32" s="233"/>
      <c r="E32" s="233"/>
      <c r="F32" s="233"/>
      <c r="G32" s="227">
        <v>0.8</v>
      </c>
      <c r="H32" s="228"/>
    </row>
    <row r="33" spans="2:8" ht="15" customHeight="1">
      <c r="B33" s="234" t="s">
        <v>54</v>
      </c>
      <c r="C33" s="233"/>
      <c r="D33" s="233"/>
      <c r="E33" s="233"/>
      <c r="F33" s="233"/>
      <c r="G33" s="235">
        <v>1</v>
      </c>
      <c r="H33" s="236"/>
    </row>
    <row r="34" spans="2:8" ht="15" customHeight="1" thickBot="1">
      <c r="B34" s="218" t="s">
        <v>55</v>
      </c>
      <c r="C34" s="219"/>
      <c r="D34" s="219"/>
      <c r="E34" s="219"/>
      <c r="F34" s="219"/>
      <c r="G34" s="216">
        <v>1.5</v>
      </c>
      <c r="H34" s="217"/>
    </row>
    <row r="35" ht="5.25" customHeight="1"/>
    <row r="36" ht="5.25" customHeight="1"/>
    <row r="37" ht="12.75">
      <c r="B37" s="17" t="s">
        <v>56</v>
      </c>
    </row>
    <row r="38" ht="7.5" customHeight="1" thickBot="1"/>
    <row r="39" spans="2:5" ht="15" customHeight="1">
      <c r="B39" s="229" t="s">
        <v>57</v>
      </c>
      <c r="C39" s="230"/>
      <c r="D39" s="230"/>
      <c r="E39" s="231"/>
    </row>
    <row r="40" spans="2:5" ht="30" customHeight="1">
      <c r="B40" s="220" t="s">
        <v>58</v>
      </c>
      <c r="C40" s="226"/>
      <c r="D40" s="227" t="s">
        <v>59</v>
      </c>
      <c r="E40" s="228"/>
    </row>
    <row r="41" spans="2:6" ht="15" customHeight="1">
      <c r="B41" s="220" t="s">
        <v>60</v>
      </c>
      <c r="C41" s="221"/>
      <c r="D41" s="19">
        <v>0.05</v>
      </c>
      <c r="E41" s="18" t="s">
        <v>61</v>
      </c>
      <c r="F41" s="2"/>
    </row>
    <row r="42" spans="2:5" ht="15" customHeight="1">
      <c r="B42" s="220"/>
      <c r="C42" s="221"/>
      <c r="D42" s="19">
        <v>0.1</v>
      </c>
      <c r="E42" s="18" t="s">
        <v>62</v>
      </c>
    </row>
    <row r="43" spans="2:5" ht="15" customHeight="1">
      <c r="B43" s="222"/>
      <c r="C43" s="223"/>
      <c r="D43" s="96">
        <v>0.15</v>
      </c>
      <c r="E43" s="97" t="s">
        <v>63</v>
      </c>
    </row>
    <row r="44" spans="2:5" ht="30" customHeight="1" thickBot="1">
      <c r="B44" s="224" t="s">
        <v>64</v>
      </c>
      <c r="C44" s="225"/>
      <c r="D44" s="216" t="s">
        <v>65</v>
      </c>
      <c r="E44" s="217"/>
    </row>
    <row r="45" ht="6.75" customHeight="1"/>
    <row r="46" s="175" customFormat="1" ht="12.75"/>
    <row r="47" s="175" customFormat="1" ht="12.75"/>
    <row r="48" s="175" customFormat="1" ht="12.75"/>
    <row r="49" s="175" customFormat="1" ht="12.75"/>
    <row r="50" s="175" customFormat="1" ht="12.75"/>
    <row r="51" s="175" customFormat="1" ht="12.75"/>
    <row r="52" s="175" customFormat="1" ht="12.75"/>
    <row r="53" s="175" customFormat="1" ht="12.75"/>
    <row r="54" s="175" customFormat="1" ht="12.75"/>
    <row r="55" s="175" customFormat="1" ht="12.75"/>
    <row r="56" s="175" customFormat="1" ht="12.75"/>
    <row r="57" spans="5:7" s="175" customFormat="1" ht="12.75">
      <c r="E57" s="176"/>
      <c r="F57" s="176"/>
      <c r="G57" s="176"/>
    </row>
    <row r="58" spans="5:7" s="175" customFormat="1" ht="12.75">
      <c r="E58" s="176"/>
      <c r="F58" s="176"/>
      <c r="G58" s="176"/>
    </row>
    <row r="59" spans="5:7" s="175" customFormat="1" ht="12.75">
      <c r="E59" s="176"/>
      <c r="F59" s="177"/>
      <c r="G59" s="177"/>
    </row>
    <row r="60" spans="5:7" s="175" customFormat="1" ht="12.75">
      <c r="E60" s="176"/>
      <c r="F60" s="177"/>
      <c r="G60" s="177"/>
    </row>
    <row r="61" spans="5:7" s="175" customFormat="1" ht="12.75">
      <c r="E61" s="176"/>
      <c r="F61" s="177"/>
      <c r="G61" s="177"/>
    </row>
    <row r="62" spans="5:7" s="175" customFormat="1" ht="12.75">
      <c r="E62" s="176"/>
      <c r="F62" s="177"/>
      <c r="G62" s="177"/>
    </row>
    <row r="63" spans="5:7" s="175" customFormat="1" ht="12.75">
      <c r="E63" s="176"/>
      <c r="F63" s="177"/>
      <c r="G63" s="177"/>
    </row>
    <row r="64" spans="5:7" s="175" customFormat="1" ht="12.75">
      <c r="E64" s="176"/>
      <c r="F64" s="177"/>
      <c r="G64" s="177"/>
    </row>
    <row r="65" spans="5:7" s="175" customFormat="1" ht="12.75">
      <c r="E65" s="176"/>
      <c r="F65" s="176"/>
      <c r="G65" s="178"/>
    </row>
    <row r="66" spans="5:7" s="175" customFormat="1" ht="12.75">
      <c r="E66" s="176"/>
      <c r="F66" s="176"/>
      <c r="G66" s="179"/>
    </row>
    <row r="67" spans="5:7" s="175" customFormat="1" ht="12.75">
      <c r="E67" s="176"/>
      <c r="F67" s="176"/>
      <c r="G67" s="180"/>
    </row>
    <row r="68" spans="3:7" s="175" customFormat="1" ht="12.75">
      <c r="C68" s="176"/>
      <c r="D68" s="176"/>
      <c r="E68" s="176"/>
      <c r="F68" s="176"/>
      <c r="G68" s="179"/>
    </row>
    <row r="69" spans="3:7" s="175" customFormat="1" ht="12.75">
      <c r="C69" s="176"/>
      <c r="D69" s="176"/>
      <c r="E69" s="176"/>
      <c r="F69" s="176"/>
      <c r="G69" s="181"/>
    </row>
    <row r="70" spans="3:7" s="175" customFormat="1" ht="12.75">
      <c r="C70" s="176"/>
      <c r="D70" s="176"/>
      <c r="E70" s="176"/>
      <c r="F70" s="176"/>
      <c r="G70" s="181"/>
    </row>
    <row r="71" spans="3:6" s="175" customFormat="1" ht="12.75">
      <c r="C71" s="176"/>
      <c r="D71" s="176"/>
      <c r="E71" s="176"/>
      <c r="F71" s="176"/>
    </row>
    <row r="72" spans="3:6" s="175" customFormat="1" ht="12.75">
      <c r="C72" s="176"/>
      <c r="D72" s="176"/>
      <c r="E72" s="176"/>
      <c r="F72" s="176"/>
    </row>
    <row r="73" s="175" customFormat="1" ht="12.75"/>
    <row r="86" spans="3:7" ht="12.75">
      <c r="C86" s="74"/>
      <c r="D86" s="74"/>
      <c r="E86" s="74"/>
      <c r="F86" s="74"/>
      <c r="G86" s="74"/>
    </row>
    <row r="87" spans="3:7" ht="12.75">
      <c r="C87" s="74"/>
      <c r="D87" s="74"/>
      <c r="E87" s="74"/>
      <c r="F87" s="74"/>
      <c r="G87" s="74"/>
    </row>
    <row r="88" spans="3:7" ht="12.75">
      <c r="C88" s="74"/>
      <c r="D88" s="74"/>
      <c r="E88" s="74"/>
      <c r="F88" s="74"/>
      <c r="G88" s="74"/>
    </row>
    <row r="89" spans="3:7" ht="12.75">
      <c r="C89" s="74"/>
      <c r="D89" s="74"/>
      <c r="E89" s="74"/>
      <c r="F89" s="74"/>
      <c r="G89" s="74"/>
    </row>
    <row r="90" spans="3:7" ht="12.75">
      <c r="C90" s="74"/>
      <c r="D90" s="74"/>
      <c r="E90" s="74"/>
      <c r="F90" s="74"/>
      <c r="G90" s="74"/>
    </row>
    <row r="91" spans="3:7" ht="12.75">
      <c r="C91" s="74"/>
      <c r="D91" s="74"/>
      <c r="E91" s="74"/>
      <c r="F91" s="74"/>
      <c r="G91" s="74"/>
    </row>
    <row r="92" spans="3:7" ht="12.75">
      <c r="C92" s="74"/>
      <c r="D92" s="74"/>
      <c r="E92" s="74"/>
      <c r="F92" s="74"/>
      <c r="G92" s="74"/>
    </row>
    <row r="93" spans="3:7" ht="12.75">
      <c r="C93" s="74"/>
      <c r="D93" s="74"/>
      <c r="E93" s="74"/>
      <c r="F93" s="74"/>
      <c r="G93" s="74"/>
    </row>
    <row r="94" spans="3:7" ht="12.75">
      <c r="C94" s="74"/>
      <c r="D94" s="74"/>
      <c r="E94" s="74"/>
      <c r="F94" s="74"/>
      <c r="G94" s="74"/>
    </row>
  </sheetData>
  <sheetProtection password="C477" sheet="1" objects="1" scenarios="1" selectLockedCells="1"/>
  <mergeCells count="45">
    <mergeCell ref="C4:H4"/>
    <mergeCell ref="C5:H5"/>
    <mergeCell ref="C6:H6"/>
    <mergeCell ref="B2:H2"/>
    <mergeCell ref="B28:F28"/>
    <mergeCell ref="G28:H28"/>
    <mergeCell ref="B29:F29"/>
    <mergeCell ref="G29:H29"/>
    <mergeCell ref="B26:F26"/>
    <mergeCell ref="G26:H26"/>
    <mergeCell ref="B27:F27"/>
    <mergeCell ref="G27:H27"/>
    <mergeCell ref="B32:F32"/>
    <mergeCell ref="G32:H32"/>
    <mergeCell ref="B33:F33"/>
    <mergeCell ref="G33:H33"/>
    <mergeCell ref="B30:F30"/>
    <mergeCell ref="G30:H30"/>
    <mergeCell ref="B31:F31"/>
    <mergeCell ref="G31:H31"/>
    <mergeCell ref="D44:E44"/>
    <mergeCell ref="B34:F34"/>
    <mergeCell ref="G34:H34"/>
    <mergeCell ref="B41:C43"/>
    <mergeCell ref="B44:C44"/>
    <mergeCell ref="B40:C40"/>
    <mergeCell ref="D40:E40"/>
    <mergeCell ref="B39:E39"/>
    <mergeCell ref="F18:G18"/>
    <mergeCell ref="F20:H20"/>
    <mergeCell ref="F21:H21"/>
    <mergeCell ref="B21:E21"/>
    <mergeCell ref="B18:E18"/>
    <mergeCell ref="B19:E19"/>
    <mergeCell ref="B20:E20"/>
    <mergeCell ref="D7:H7"/>
    <mergeCell ref="B12:E12"/>
    <mergeCell ref="B13:E13"/>
    <mergeCell ref="B14:E14"/>
    <mergeCell ref="B15:E15"/>
    <mergeCell ref="B17:E17"/>
    <mergeCell ref="F13:G13"/>
    <mergeCell ref="F14:G14"/>
    <mergeCell ref="F17:H17"/>
    <mergeCell ref="B16:E16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BD30"/>
  <sheetViews>
    <sheetView showGridLines="0" zoomScalePageLayoutView="0" workbookViewId="0" topLeftCell="A1">
      <pane xSplit="2" topLeftCell="C1" activePane="topRight" state="frozen"/>
      <selection pane="topLeft" activeCell="A1" sqref="A1"/>
      <selection pane="topRight" activeCell="O10" sqref="O10"/>
    </sheetView>
  </sheetViews>
  <sheetFormatPr defaultColWidth="9.140625" defaultRowHeight="12.75"/>
  <cols>
    <col min="1" max="1" width="4.00390625" style="2" customWidth="1"/>
    <col min="2" max="2" width="8.28125" style="2" customWidth="1"/>
    <col min="3" max="3" width="11.00390625" style="2" customWidth="1"/>
    <col min="4" max="4" width="9.28125" style="2" customWidth="1"/>
    <col min="5" max="7" width="8.7109375" style="2" customWidth="1"/>
    <col min="8" max="8" width="10.7109375" style="2" customWidth="1"/>
    <col min="9" max="9" width="11.57421875" style="2" customWidth="1"/>
    <col min="10" max="10" width="10.7109375" style="2" customWidth="1"/>
    <col min="11" max="12" width="11.140625" style="2" customWidth="1"/>
    <col min="13" max="13" width="7.7109375" style="2" customWidth="1"/>
    <col min="14" max="14" width="9.7109375" style="2" customWidth="1"/>
    <col min="15" max="15" width="10.57421875" style="2" customWidth="1"/>
    <col min="16" max="17" width="11.140625" style="2" customWidth="1"/>
    <col min="18" max="18" width="7.7109375" style="2" customWidth="1"/>
    <col min="19" max="20" width="9.7109375" style="2" customWidth="1"/>
    <col min="21" max="21" width="9.7109375" style="2" bestFit="1" customWidth="1"/>
    <col min="22" max="43" width="9.7109375" style="2" customWidth="1"/>
    <col min="44" max="45" width="9.140625" style="2" customWidth="1"/>
    <col min="46" max="46" width="11.7109375" style="2" customWidth="1"/>
    <col min="47" max="47" width="9.140625" style="2" customWidth="1"/>
    <col min="48" max="48" width="12.421875" style="2" customWidth="1"/>
    <col min="49" max="49" width="9.140625" style="2" customWidth="1"/>
    <col min="50" max="50" width="12.421875" style="2" bestFit="1" customWidth="1"/>
    <col min="51" max="16384" width="9.140625" style="2" customWidth="1"/>
  </cols>
  <sheetData>
    <row r="1" ht="12.75"/>
    <row r="2" spans="4:10" ht="15.75">
      <c r="D2" s="263" t="s">
        <v>48</v>
      </c>
      <c r="E2" s="263"/>
      <c r="F2" s="263"/>
      <c r="G2" s="263"/>
      <c r="H2" s="263"/>
      <c r="I2" s="263"/>
      <c r="J2" s="263"/>
    </row>
    <row r="3" spans="4:10" ht="12.75">
      <c r="D3" s="182"/>
      <c r="J3" s="183"/>
    </row>
    <row r="4" spans="4:10" ht="12.75">
      <c r="D4" s="158"/>
      <c r="E4" s="2" t="s">
        <v>189</v>
      </c>
      <c r="J4" s="183"/>
    </row>
    <row r="5" ht="13.5" thickBot="1"/>
    <row r="6" spans="3:48" ht="12.75" customHeight="1">
      <c r="C6" s="252" t="s">
        <v>91</v>
      </c>
      <c r="D6" s="250" t="s">
        <v>177</v>
      </c>
      <c r="E6" s="257" t="s">
        <v>95</v>
      </c>
      <c r="F6" s="258"/>
      <c r="G6" s="259"/>
      <c r="H6" s="252" t="s">
        <v>87</v>
      </c>
      <c r="I6" s="250" t="s">
        <v>109</v>
      </c>
      <c r="J6" s="254" t="s">
        <v>184</v>
      </c>
      <c r="K6" s="255"/>
      <c r="L6" s="255"/>
      <c r="M6" s="255"/>
      <c r="N6" s="256"/>
      <c r="O6" s="254" t="s">
        <v>185</v>
      </c>
      <c r="P6" s="255"/>
      <c r="Q6" s="255"/>
      <c r="R6" s="255"/>
      <c r="S6" s="256"/>
      <c r="T6" s="254" t="s">
        <v>35</v>
      </c>
      <c r="U6" s="255"/>
      <c r="V6" s="256"/>
      <c r="W6" s="229" t="s">
        <v>36</v>
      </c>
      <c r="X6" s="230"/>
      <c r="Y6" s="231"/>
      <c r="Z6" s="254" t="s">
        <v>37</v>
      </c>
      <c r="AA6" s="255"/>
      <c r="AB6" s="255"/>
      <c r="AC6" s="255"/>
      <c r="AD6" s="256"/>
      <c r="AE6" s="254" t="s">
        <v>38</v>
      </c>
      <c r="AF6" s="255"/>
      <c r="AG6" s="255"/>
      <c r="AH6" s="255"/>
      <c r="AI6" s="255"/>
      <c r="AJ6" s="254" t="s">
        <v>188</v>
      </c>
      <c r="AK6" s="255"/>
      <c r="AL6" s="255"/>
      <c r="AM6" s="256"/>
      <c r="AN6" s="254" t="s">
        <v>125</v>
      </c>
      <c r="AO6" s="255"/>
      <c r="AP6" s="255"/>
      <c r="AQ6" s="255"/>
      <c r="AR6" s="256"/>
      <c r="AS6" s="252" t="s">
        <v>43</v>
      </c>
      <c r="AT6" s="261" t="s">
        <v>122</v>
      </c>
      <c r="AU6" s="266" t="s">
        <v>76</v>
      </c>
      <c r="AV6" s="250" t="s">
        <v>96</v>
      </c>
    </row>
    <row r="7" spans="3:48" s="3" customFormat="1" ht="42" customHeight="1">
      <c r="C7" s="253"/>
      <c r="D7" s="251"/>
      <c r="E7" s="11" t="s">
        <v>77</v>
      </c>
      <c r="F7" s="9" t="s">
        <v>78</v>
      </c>
      <c r="G7" s="10" t="s">
        <v>79</v>
      </c>
      <c r="H7" s="253"/>
      <c r="I7" s="251"/>
      <c r="J7" s="5" t="s">
        <v>25</v>
      </c>
      <c r="K7" s="104" t="str">
        <f>IF(data!$R$13=1,"Délka trasy
klesání","Délka šroub. 
rampy 
klesání")</f>
        <v>Délka šroub. 
rampy 
klesání</v>
      </c>
      <c r="L7" s="104" t="str">
        <f>IF(data!$R$13=1,"Délka trasy
stoupání","Délka šroub. 
rampy 
stoupání")</f>
        <v>Délka šroub. 
rampy 
stoupání</v>
      </c>
      <c r="M7" s="6" t="s">
        <v>187</v>
      </c>
      <c r="N7" s="7" t="s">
        <v>33</v>
      </c>
      <c r="O7" s="5" t="s">
        <v>27</v>
      </c>
      <c r="P7" s="104" t="str">
        <f>IF(data!$R$13=1,"Délka trasy
klesání","Délka šroub. 
rampy 
klesání")</f>
        <v>Délka šroub. 
rampy 
klesání</v>
      </c>
      <c r="Q7" s="104" t="str">
        <f>IF(data!$R$13=1,"Délka trasy
stoupání","Délka šroub. 
rampy 
stoupání")</f>
        <v>Délka šroub. 
rampy 
stoupání</v>
      </c>
      <c r="R7" s="6" t="s">
        <v>187</v>
      </c>
      <c r="S7" s="7" t="s">
        <v>33</v>
      </c>
      <c r="T7" s="5" t="s">
        <v>29</v>
      </c>
      <c r="U7" s="6" t="s">
        <v>30</v>
      </c>
      <c r="V7" s="7" t="s">
        <v>31</v>
      </c>
      <c r="W7" s="5" t="s">
        <v>29</v>
      </c>
      <c r="X7" s="6" t="s">
        <v>30</v>
      </c>
      <c r="Y7" s="7" t="s">
        <v>31</v>
      </c>
      <c r="Z7" s="5" t="s">
        <v>101</v>
      </c>
      <c r="AA7" s="6" t="s">
        <v>29</v>
      </c>
      <c r="AB7" s="6" t="s">
        <v>30</v>
      </c>
      <c r="AC7" s="6" t="s">
        <v>31</v>
      </c>
      <c r="AD7" s="8" t="s">
        <v>34</v>
      </c>
      <c r="AE7" s="5" t="s">
        <v>101</v>
      </c>
      <c r="AF7" s="6" t="s">
        <v>29</v>
      </c>
      <c r="AG7" s="6" t="s">
        <v>30</v>
      </c>
      <c r="AH7" s="6" t="s">
        <v>31</v>
      </c>
      <c r="AI7" s="7" t="s">
        <v>34</v>
      </c>
      <c r="AJ7" s="9" t="s">
        <v>29</v>
      </c>
      <c r="AK7" s="9" t="s">
        <v>30</v>
      </c>
      <c r="AL7" s="9" t="s">
        <v>31</v>
      </c>
      <c r="AM7" s="10" t="s">
        <v>34</v>
      </c>
      <c r="AN7" s="11" t="s">
        <v>126</v>
      </c>
      <c r="AO7" s="9" t="s">
        <v>127</v>
      </c>
      <c r="AP7" s="9" t="s">
        <v>128</v>
      </c>
      <c r="AQ7" s="12" t="s">
        <v>129</v>
      </c>
      <c r="AR7" s="7" t="s">
        <v>42</v>
      </c>
      <c r="AS7" s="253"/>
      <c r="AT7" s="262"/>
      <c r="AU7" s="267"/>
      <c r="AV7" s="251"/>
    </row>
    <row r="8" spans="3:48" s="3" customFormat="1" ht="15" customHeight="1">
      <c r="C8" s="264"/>
      <c r="D8" s="68" t="s">
        <v>102</v>
      </c>
      <c r="E8" s="69" t="s">
        <v>92</v>
      </c>
      <c r="F8" s="70" t="s">
        <v>93</v>
      </c>
      <c r="G8" s="68" t="s">
        <v>94</v>
      </c>
      <c r="H8" s="69" t="s">
        <v>98</v>
      </c>
      <c r="I8" s="251"/>
      <c r="J8" s="69" t="s">
        <v>110</v>
      </c>
      <c r="K8" s="70" t="s">
        <v>111</v>
      </c>
      <c r="L8" s="70" t="s">
        <v>112</v>
      </c>
      <c r="M8" s="9"/>
      <c r="N8" s="68" t="s">
        <v>107</v>
      </c>
      <c r="O8" s="69" t="s">
        <v>110</v>
      </c>
      <c r="P8" s="70" t="s">
        <v>111</v>
      </c>
      <c r="Q8" s="70" t="s">
        <v>112</v>
      </c>
      <c r="R8" s="9"/>
      <c r="S8" s="68" t="s">
        <v>107</v>
      </c>
      <c r="T8" s="71" t="s">
        <v>113</v>
      </c>
      <c r="U8" s="71" t="s">
        <v>114</v>
      </c>
      <c r="V8" s="71" t="s">
        <v>115</v>
      </c>
      <c r="W8" s="69" t="s">
        <v>113</v>
      </c>
      <c r="X8" s="71" t="s">
        <v>114</v>
      </c>
      <c r="Y8" s="71" t="s">
        <v>115</v>
      </c>
      <c r="Z8" s="72" t="s">
        <v>108</v>
      </c>
      <c r="AA8" s="70" t="s">
        <v>116</v>
      </c>
      <c r="AB8" s="70" t="s">
        <v>118</v>
      </c>
      <c r="AC8" s="70" t="s">
        <v>119</v>
      </c>
      <c r="AD8" s="68" t="s">
        <v>120</v>
      </c>
      <c r="AE8" s="69" t="s">
        <v>108</v>
      </c>
      <c r="AF8" s="70" t="s">
        <v>116</v>
      </c>
      <c r="AG8" s="70" t="s">
        <v>118</v>
      </c>
      <c r="AH8" s="70" t="s">
        <v>119</v>
      </c>
      <c r="AI8" s="68" t="s">
        <v>120</v>
      </c>
      <c r="AJ8" s="70" t="s">
        <v>116</v>
      </c>
      <c r="AK8" s="70" t="s">
        <v>118</v>
      </c>
      <c r="AL8" s="70" t="s">
        <v>119</v>
      </c>
      <c r="AM8" s="68" t="s">
        <v>120</v>
      </c>
      <c r="AN8" s="69" t="s">
        <v>170</v>
      </c>
      <c r="AO8" s="70" t="s">
        <v>171</v>
      </c>
      <c r="AP8" s="70" t="s">
        <v>172</v>
      </c>
      <c r="AQ8" s="70" t="s">
        <v>173</v>
      </c>
      <c r="AR8" s="70" t="s">
        <v>174</v>
      </c>
      <c r="AS8" s="69" t="s">
        <v>121</v>
      </c>
      <c r="AT8" s="70" t="s">
        <v>123</v>
      </c>
      <c r="AU8" s="73" t="s">
        <v>124</v>
      </c>
      <c r="AV8" s="68" t="s">
        <v>97</v>
      </c>
    </row>
    <row r="9" spans="3:48" s="3" customFormat="1" ht="15" customHeight="1" thickBot="1">
      <c r="C9" s="265"/>
      <c r="D9" s="15" t="s">
        <v>103</v>
      </c>
      <c r="E9" s="13" t="s">
        <v>20</v>
      </c>
      <c r="F9" s="14" t="s">
        <v>20</v>
      </c>
      <c r="G9" s="15" t="s">
        <v>20</v>
      </c>
      <c r="H9" s="13" t="s">
        <v>99</v>
      </c>
      <c r="I9" s="260"/>
      <c r="J9" s="13" t="s">
        <v>20</v>
      </c>
      <c r="K9" s="14" t="s">
        <v>20</v>
      </c>
      <c r="L9" s="14" t="s">
        <v>20</v>
      </c>
      <c r="M9" s="14" t="s">
        <v>21</v>
      </c>
      <c r="N9" s="15" t="s">
        <v>28</v>
      </c>
      <c r="O9" s="13" t="s">
        <v>20</v>
      </c>
      <c r="P9" s="14" t="s">
        <v>20</v>
      </c>
      <c r="Q9" s="14" t="s">
        <v>20</v>
      </c>
      <c r="R9" s="14" t="s">
        <v>21</v>
      </c>
      <c r="S9" s="15" t="s">
        <v>28</v>
      </c>
      <c r="T9" s="13" t="s">
        <v>28</v>
      </c>
      <c r="U9" s="14" t="s">
        <v>28</v>
      </c>
      <c r="V9" s="15" t="s">
        <v>28</v>
      </c>
      <c r="W9" s="13" t="s">
        <v>28</v>
      </c>
      <c r="X9" s="14" t="s">
        <v>28</v>
      </c>
      <c r="Y9" s="15" t="s">
        <v>28</v>
      </c>
      <c r="Z9" s="13" t="s">
        <v>32</v>
      </c>
      <c r="AA9" s="14" t="s">
        <v>117</v>
      </c>
      <c r="AB9" s="14" t="s">
        <v>117</v>
      </c>
      <c r="AC9" s="14" t="s">
        <v>117</v>
      </c>
      <c r="AD9" s="14" t="s">
        <v>117</v>
      </c>
      <c r="AE9" s="13" t="s">
        <v>32</v>
      </c>
      <c r="AF9" s="14" t="s">
        <v>117</v>
      </c>
      <c r="AG9" s="14" t="s">
        <v>117</v>
      </c>
      <c r="AH9" s="14" t="s">
        <v>117</v>
      </c>
      <c r="AI9" s="15" t="s">
        <v>117</v>
      </c>
      <c r="AJ9" s="14" t="s">
        <v>117</v>
      </c>
      <c r="AK9" s="14" t="s">
        <v>117</v>
      </c>
      <c r="AL9" s="14" t="s">
        <v>117</v>
      </c>
      <c r="AM9" s="15" t="s">
        <v>117</v>
      </c>
      <c r="AN9" s="13" t="s">
        <v>44</v>
      </c>
      <c r="AO9" s="14" t="s">
        <v>44</v>
      </c>
      <c r="AP9" s="14" t="s">
        <v>44</v>
      </c>
      <c r="AQ9" s="16" t="s">
        <v>44</v>
      </c>
      <c r="AR9" s="15" t="s">
        <v>44</v>
      </c>
      <c r="AS9" s="13" t="s">
        <v>44</v>
      </c>
      <c r="AT9" s="14" t="s">
        <v>66</v>
      </c>
      <c r="AU9" s="14" t="s">
        <v>32</v>
      </c>
      <c r="AV9" s="15" t="s">
        <v>44</v>
      </c>
    </row>
    <row r="10" spans="2:56" ht="15" customHeight="1" thickTop="1">
      <c r="B10" s="4" t="s">
        <v>0</v>
      </c>
      <c r="C10" s="65"/>
      <c r="D10" s="153"/>
      <c r="E10" s="184">
        <v>50</v>
      </c>
      <c r="F10" s="184">
        <v>50</v>
      </c>
      <c r="G10" s="185">
        <v>3.5</v>
      </c>
      <c r="H10" s="155">
        <v>49</v>
      </c>
      <c r="I10" s="60">
        <f>IF(data!A3=0,0,CHOOSE(data!$G$3,data!D29,data!E29,data!F29,data!G29,data!H29,data!I29,data!J29,data!K29,data!L29,data!M29,data!N29,data!O29,data!P29,data!Q29,data!R29,data!S29,data!T29,data!U29,data!V29,data!W29))</f>
        <v>97</v>
      </c>
      <c r="J10" s="184">
        <v>74</v>
      </c>
      <c r="K10" s="184">
        <v>10</v>
      </c>
      <c r="L10" s="184">
        <v>9.3</v>
      </c>
      <c r="M10" s="184">
        <v>14</v>
      </c>
      <c r="N10" s="62">
        <f>IF(data!$A$3=0,0,IF($H10=0,0,IF(data!$D3=1,0,IF(data!$G$3=data!$B3,70,30))))</f>
        <v>70</v>
      </c>
      <c r="O10" s="154">
        <v>76.3</v>
      </c>
      <c r="P10" s="154">
        <v>10</v>
      </c>
      <c r="Q10" s="154">
        <v>19.3</v>
      </c>
      <c r="R10" s="154">
        <v>14</v>
      </c>
      <c r="S10" s="22">
        <f>IF(data!$D3=1,0,IF(data!$G$3=data!$B3,40,0))</f>
        <v>40</v>
      </c>
      <c r="T10" s="23">
        <f>IF(data!$D3=1,0,IF(data!$A3=0,0,(J10/Zadání!$H$18)))</f>
        <v>26.64</v>
      </c>
      <c r="U10" s="24">
        <f>IF(data!$D3=1,0,IF(data!$A3=0,0,(K10/Zadání!$H$18)))</f>
        <v>3.6</v>
      </c>
      <c r="V10" s="25">
        <f>IF(data!$D3=1,0,IF(data!A3=0,0,(L10/Zadání!$H$18)))</f>
        <v>3.3480000000000003</v>
      </c>
      <c r="W10" s="23">
        <f>IF(data!$D3=1,0,IF(data!$R$13=2,0,IF(data!$A3=0,0,(O10/Zadání!$H$18))))</f>
        <v>0</v>
      </c>
      <c r="X10" s="24">
        <f>IF(data!$D3=1,0,IF(data!A3=0,0,(P10/Zadání!$H$18)))</f>
        <v>3.6</v>
      </c>
      <c r="Y10" s="25">
        <f>IF(data!$D3=1,0,IF(data!A3=0,0,(Q10/Zadání!$H$18)))</f>
        <v>6.948</v>
      </c>
      <c r="Z10" s="26">
        <f>IF(data!$D3=1,0,IF(data!A3=0,0,$H10/Zadání!$F$21))</f>
        <v>24.5</v>
      </c>
      <c r="AA10" s="27">
        <f>IF(data!A3=0,0,$T10*$Z10)</f>
        <v>652.6800000000001</v>
      </c>
      <c r="AB10" s="27">
        <f>IF(data!A3=0,0,$U10*$Z10)</f>
        <v>88.2</v>
      </c>
      <c r="AC10" s="27">
        <f>IF(data!A3=0,0,$V10*$Z10)</f>
        <v>82.02600000000001</v>
      </c>
      <c r="AD10" s="28">
        <f>IF(data!A3=0,0,$N10*$Z10)</f>
        <v>1715</v>
      </c>
      <c r="AE10" s="63">
        <f>IF(data!$D3=1,0,IF(data!A3=0,0,($I10/Zadání!$F$21)))</f>
        <v>48.5</v>
      </c>
      <c r="AF10" s="27">
        <f>IF(data!A3=0,0,$W10*$AE10)</f>
        <v>0</v>
      </c>
      <c r="AG10" s="27">
        <f>IF(data!A3=0,0,$X10*$AE10)</f>
        <v>174.6</v>
      </c>
      <c r="AH10" s="27">
        <f>IF(data!A3=0,0,$Y10*$AE10)</f>
        <v>336.978</v>
      </c>
      <c r="AI10" s="28">
        <f>IF(data!A3=0,0,$S10*$AE10)</f>
        <v>1940</v>
      </c>
      <c r="AJ10" s="29">
        <f>IF(data!A3=0,0,$AA10+AF10)</f>
        <v>652.6800000000001</v>
      </c>
      <c r="AK10" s="30">
        <f>IF(data!A3=0,0,AB10+AG10)</f>
        <v>262.8</v>
      </c>
      <c r="AL10" s="30">
        <f>IF(data!A3=0,0,AC10+AH10)</f>
        <v>419.004</v>
      </c>
      <c r="AM10" s="31">
        <f>IF(data!A3=0,0,AD10+AI10)</f>
        <v>3655</v>
      </c>
      <c r="AN10" s="32">
        <f>IF(data!A3=0,0,$AJ10*data!$M$3)</f>
        <v>0.032634</v>
      </c>
      <c r="AO10" s="33">
        <f>IF(data!A3=0,0,$AK10*data!$M$4)</f>
        <v>0.01314</v>
      </c>
      <c r="AP10" s="33">
        <f>IF(data!A3=0,0,IF(AL10=0,0,VLOOKUP($M10,data!$O$4:$P$6,2)*(AL10)))</f>
        <v>0.037291356</v>
      </c>
      <c r="AQ10" s="33">
        <f>IF(data!A3=0,0,$AM10*data!$M$5)</f>
        <v>0.08041</v>
      </c>
      <c r="AR10" s="34">
        <f>IF(data!A3=0,0,$AN10+$AO10+$AP10+$AQ10)</f>
        <v>0.16347535600000002</v>
      </c>
      <c r="AS10" s="50">
        <f>IF($H10=0,0,IF(data!$D3=1,($AT10*$H10),IF(data!$I$6=1,IF(data!$A3=0,0,($AR10/((data!$M$7-data!$M$11)*10^-6))),IF(data!A3=0,0,($AR10/((data!$M$8-data!$M$11)*10^-6))))))</f>
        <v>3632.7856888888896</v>
      </c>
      <c r="AT10" s="51">
        <f>IF(data!$A3=0,0,IF(data!$D3=1,IF(H10=0,0,((data!$C51*$D10)/(((data!$M$7-data!$M$11)*10^-6)*$H10))*3600),IF($H10=0,0,$AS10/$H10)))</f>
        <v>74.13848344671203</v>
      </c>
      <c r="AU10" s="52">
        <f>IF(data!A3=0,0,IF(E10=0,0,$AS10/($E10*$F10*$G10)))</f>
        <v>0.41517550730158737</v>
      </c>
      <c r="AV10" s="53">
        <f>IF(data!A3=0,0,IF($AU10&gt;0.5,$AS10,0.5*($E10*$F10*$G10)))</f>
        <v>4375</v>
      </c>
      <c r="AW10" s="35"/>
      <c r="AY10" s="35"/>
      <c r="AZ10" s="35"/>
      <c r="BA10" s="35"/>
      <c r="BB10" s="35"/>
      <c r="BC10" s="35"/>
      <c r="BD10" s="35"/>
    </row>
    <row r="11" spans="2:56" ht="15" customHeight="1">
      <c r="B11" s="4" t="s">
        <v>1</v>
      </c>
      <c r="C11" s="66"/>
      <c r="D11" s="156"/>
      <c r="E11" s="159">
        <v>50</v>
      </c>
      <c r="F11" s="157">
        <v>50</v>
      </c>
      <c r="G11" s="188">
        <v>3.5</v>
      </c>
      <c r="H11" s="159">
        <v>52</v>
      </c>
      <c r="I11" s="60">
        <f>IF(data!A4=0,0,CHOOSE(data!$G$3,data!D30,data!E30,data!F30,data!G30,data!H30,data!I30,data!J30,data!K30,data!L30,data!M30,data!N30,data!O30,data!P30,data!Q30,data!R30,data!S30,data!T30,data!U30,data!V30,data!W30))</f>
        <v>45</v>
      </c>
      <c r="J11" s="159">
        <v>71.5</v>
      </c>
      <c r="K11" s="157">
        <v>10</v>
      </c>
      <c r="L11" s="157">
        <v>12.5</v>
      </c>
      <c r="M11" s="157">
        <v>17</v>
      </c>
      <c r="N11" s="64">
        <f>IF(data!$A$3=0,0,IF($H11=0,0,IF(data!$D4=1,0,IF(data!$G$3=data!$B4,70,30))))</f>
        <v>30</v>
      </c>
      <c r="O11" s="159">
        <v>80</v>
      </c>
      <c r="P11" s="158">
        <v>10</v>
      </c>
      <c r="Q11" s="158">
        <v>20</v>
      </c>
      <c r="R11" s="158">
        <v>17</v>
      </c>
      <c r="S11" s="22">
        <f>IF(data!$D4=1,0,IF(data!$G$3=data!$B4,40,0))</f>
        <v>0</v>
      </c>
      <c r="T11" s="23">
        <f>IF(data!$D4=1,0,IF(data!$A4=0,0,(J11/Zadání!$H$18)))</f>
        <v>25.740000000000002</v>
      </c>
      <c r="U11" s="24">
        <f>IF(data!$D4=1,0,IF(data!$A4=0,0,(K11/Zadání!$H$18)))</f>
        <v>3.6</v>
      </c>
      <c r="V11" s="25">
        <f>IF(data!$D4=1,0,IF(data!A4=0,0,(L11/Zadání!$H$18)))</f>
        <v>4.5</v>
      </c>
      <c r="W11" s="23">
        <f>IF(data!$D4=1,0,IF(data!$R$13=2,0,IF(data!$A4=0,0,(O11/Zadání!$H$18))))</f>
        <v>0</v>
      </c>
      <c r="X11" s="24">
        <f>IF(data!$D4=1,0,IF(data!A4=0,0,(P11/Zadání!$H$18)))</f>
        <v>3.6</v>
      </c>
      <c r="Y11" s="25">
        <f>IF(data!$D4=1,0,IF(data!A4=0,0,(Q11/Zadání!$H$18)))</f>
        <v>7.2</v>
      </c>
      <c r="Z11" s="26">
        <f>IF(data!$D4=1,0,IF(data!A4=0,0,$H11/Zadání!$F$21))</f>
        <v>26</v>
      </c>
      <c r="AA11" s="27">
        <f>IF(data!A4=0,0,$T11*$Z11)</f>
        <v>669.24</v>
      </c>
      <c r="AB11" s="27">
        <f>IF(data!A4=0,0,$U11*$Z11)</f>
        <v>93.60000000000001</v>
      </c>
      <c r="AC11" s="27">
        <f>IF(data!A4=0,0,$V11*$Z11)</f>
        <v>117</v>
      </c>
      <c r="AD11" s="28">
        <f>IF(data!A4=0,0,$N11*$Z11)</f>
        <v>780</v>
      </c>
      <c r="AE11" s="63">
        <f>IF(data!$D4=1,0,IF(data!A4=0,0,($I11/Zadání!$F$21)))</f>
        <v>22.5</v>
      </c>
      <c r="AF11" s="27">
        <f>IF(data!A4=0,0,$W11*$AE11)</f>
        <v>0</v>
      </c>
      <c r="AG11" s="27">
        <f>IF(data!A4=0,0,$X11*$AE11)</f>
        <v>81</v>
      </c>
      <c r="AH11" s="27">
        <f>IF(data!A4=0,0,$Y11*$AE11)</f>
        <v>162</v>
      </c>
      <c r="AI11" s="28">
        <f>IF(data!A4=0,0,$S11*$AE11)</f>
        <v>0</v>
      </c>
      <c r="AJ11" s="36">
        <f>IF(data!A4=0,0,$AA11+AF11)</f>
        <v>669.24</v>
      </c>
      <c r="AK11" s="37">
        <f>IF(data!A4=0,0,AB11+AG11)</f>
        <v>174.60000000000002</v>
      </c>
      <c r="AL11" s="37">
        <f>IF(data!A4=0,0,AC11+AH11)</f>
        <v>279</v>
      </c>
      <c r="AM11" s="38">
        <f>IF(data!A4=0,0,AD11+AI11)</f>
        <v>780</v>
      </c>
      <c r="AN11" s="39">
        <f>IF(data!A4=0,0,$AJ11*data!$M$3)</f>
        <v>0.033462</v>
      </c>
      <c r="AO11" s="40">
        <f>IF(data!A4=0,0,$AK11*data!$M$4)</f>
        <v>0.008730000000000002</v>
      </c>
      <c r="AP11" s="40">
        <f>IF(data!A4=0,0,IF(AL11=0,0,VLOOKUP($M11,data!$O$4:$P$6,2)*(AL11)))</f>
        <v>0.03627</v>
      </c>
      <c r="AQ11" s="40">
        <f>IF(data!A4=0,0,$AM11*data!$M$5)</f>
        <v>0.017159999999999998</v>
      </c>
      <c r="AR11" s="41">
        <f>IF(data!A4=0,0,$AN11+$AO11+$AP11+$AQ11)</f>
        <v>0.095622</v>
      </c>
      <c r="AS11" s="54">
        <f>IF($H11=0,0,IF(data!$D4=1,($AT11*$H11),IF(data!$I$6=1,IF(data!$A4=0,0,($AR11/((data!$M$7-data!$M$11)*10^-6))),IF(data!A4=0,0,($AR11/((data!$M$8-data!$M$11)*10^-6))))))</f>
        <v>2124.9333333333334</v>
      </c>
      <c r="AT11" s="51">
        <f>IF(data!$A4=0,0,IF(data!$D4=1,IF(H11=0,0,((data!$C52*$D11)/(((data!$M$7-data!$M$11)*10^-6)*$H11))*3600),IF($H11=0,0,$AS11/$H11)))</f>
        <v>40.864102564102566</v>
      </c>
      <c r="AU11" s="55">
        <f>IF(data!A4=0,0,IF(E11=0,0,$AS11/($E11*$F11*$G11)))</f>
        <v>0.24284952380952382</v>
      </c>
      <c r="AV11" s="56">
        <f>IF(data!A4=0,0,IF($AU11&gt;0.5,$AS11,0.5*($E11*$F11*$G11)))</f>
        <v>4375</v>
      </c>
      <c r="AW11" s="35"/>
      <c r="AY11" s="35"/>
      <c r="AZ11" s="35"/>
      <c r="BA11" s="35"/>
      <c r="BB11" s="35"/>
      <c r="BC11" s="35"/>
      <c r="BD11" s="35"/>
    </row>
    <row r="12" spans="2:56" ht="15" customHeight="1">
      <c r="B12" s="4" t="s">
        <v>2</v>
      </c>
      <c r="C12" s="66"/>
      <c r="D12" s="156"/>
      <c r="E12" s="186">
        <v>50</v>
      </c>
      <c r="F12" s="186">
        <v>50</v>
      </c>
      <c r="G12" s="187">
        <v>3.5</v>
      </c>
      <c r="H12" s="159">
        <v>45</v>
      </c>
      <c r="I12" s="60">
        <f>IF(data!A5=0,0,CHOOSE(data!$G$3,data!D31,data!E31,data!F31,data!G31,data!H31,data!I31,data!J31,data!K31,data!L31,data!M31,data!N31,data!O31,data!P31,data!Q31,data!R31,data!S31,data!T31,data!U31,data!V31,data!W31))</f>
        <v>0</v>
      </c>
      <c r="J12" s="186">
        <v>75.3</v>
      </c>
      <c r="K12" s="186">
        <v>10</v>
      </c>
      <c r="L12" s="186">
        <v>10</v>
      </c>
      <c r="M12" s="186">
        <v>17</v>
      </c>
      <c r="N12" s="64">
        <f>IF(data!$A$3=0,0,IF($H12=0,0,IF(data!$D5=1,0,IF(data!$G$3=data!$B5,70,30))))</f>
        <v>30</v>
      </c>
      <c r="O12" s="159"/>
      <c r="P12" s="158"/>
      <c r="Q12" s="158"/>
      <c r="R12" s="158"/>
      <c r="S12" s="22">
        <f>IF(data!$D5=1,0,IF(data!$G$3=data!$B5,40,0))</f>
        <v>0</v>
      </c>
      <c r="T12" s="23">
        <f>IF(data!$D5=1,0,IF(data!$A5=0,0,(J12/Zadání!$H$18)))</f>
        <v>27.108</v>
      </c>
      <c r="U12" s="24">
        <f>IF(data!$D5=1,0,IF(data!$A5=0,0,(K12/Zadání!$H$18)))</f>
        <v>3.6</v>
      </c>
      <c r="V12" s="25">
        <f>IF(data!$D5=1,0,IF(data!A5=0,0,(L12/Zadání!$H$18)))</f>
        <v>3.6</v>
      </c>
      <c r="W12" s="23">
        <f>IF(data!$D5=1,0,IF(data!$R$13=2,0,IF(data!$A5=0,0,(O12/Zadání!$H$18))))</f>
        <v>0</v>
      </c>
      <c r="X12" s="24">
        <f>IF(data!$D5=1,0,IF(data!A5=0,0,(P12/Zadání!$H$18)))</f>
        <v>0</v>
      </c>
      <c r="Y12" s="25">
        <f>IF(data!$D5=1,0,IF(data!A5=0,0,(Q12/Zadání!$H$18)))</f>
        <v>0</v>
      </c>
      <c r="Z12" s="26">
        <f>IF(data!$D5=1,0,IF(data!A5=0,0,$H12/Zadání!$F$21))</f>
        <v>22.5</v>
      </c>
      <c r="AA12" s="27">
        <f>IF(data!A5=0,0,$T12*$Z12)</f>
        <v>609.9300000000001</v>
      </c>
      <c r="AB12" s="27">
        <f>IF(data!A5=0,0,$U12*$Z12)</f>
        <v>81</v>
      </c>
      <c r="AC12" s="27">
        <f>IF(data!A5=0,0,$V12*$Z12)</f>
        <v>81</v>
      </c>
      <c r="AD12" s="28">
        <f>IF(data!A5=0,0,$N12*$Z12)</f>
        <v>675</v>
      </c>
      <c r="AE12" s="63">
        <f>IF(data!$D5=1,0,IF(data!A5=0,0,($I12/Zadání!$F$21)))</f>
        <v>0</v>
      </c>
      <c r="AF12" s="27">
        <f>IF(data!A5=0,0,$W12*$AE12)</f>
        <v>0</v>
      </c>
      <c r="AG12" s="27">
        <f>IF(data!A5=0,0,$X12*$AE12)</f>
        <v>0</v>
      </c>
      <c r="AH12" s="27">
        <f>IF(data!A5=0,0,$Y12*$AE12)</f>
        <v>0</v>
      </c>
      <c r="AI12" s="28">
        <f>IF(data!A5=0,0,$S12*$AE12)</f>
        <v>0</v>
      </c>
      <c r="AJ12" s="36">
        <f>IF(data!A5=0,0,$AA12+AF12)</f>
        <v>609.9300000000001</v>
      </c>
      <c r="AK12" s="37">
        <f>IF(data!A5=0,0,AB12+AG12)</f>
        <v>81</v>
      </c>
      <c r="AL12" s="37">
        <f>IF(data!A5=0,0,AC12+AH12)</f>
        <v>81</v>
      </c>
      <c r="AM12" s="38">
        <f>IF(data!A5=0,0,AD12+AI12)</f>
        <v>675</v>
      </c>
      <c r="AN12" s="39">
        <f>IF(data!A5=0,0,$AJ12*data!$M$3)</f>
        <v>0.030496500000000006</v>
      </c>
      <c r="AO12" s="40">
        <f>IF(data!A5=0,0,$AK12*data!$M$4)</f>
        <v>0.00405</v>
      </c>
      <c r="AP12" s="40">
        <f>IF(data!A5=0,0,IF(AL12=0,0,VLOOKUP($M12,data!$O$4:$P$6,2)*(AL12)))</f>
        <v>0.01053</v>
      </c>
      <c r="AQ12" s="40">
        <f>IF(data!A5=0,0,$AM12*data!$M$5)</f>
        <v>0.01485</v>
      </c>
      <c r="AR12" s="41">
        <f>IF(data!A5=0,0,$AN12+$AO12+$AP12+$AQ12)</f>
        <v>0.05992650000000001</v>
      </c>
      <c r="AS12" s="54">
        <f>IF($H12=0,0,IF(data!$D5=1,($AT12*$H12),IF(data!$I$6=1,IF(data!$A5=0,0,($AR12/((data!$M$7-data!$M$11)*10^-6))),IF(data!A5=0,0,($AR12/((data!$M$8-data!$M$11)*10^-6))))))</f>
        <v>1331.7000000000003</v>
      </c>
      <c r="AT12" s="51">
        <f>IF(data!$A5=0,0,IF(data!$D5=1,IF(H12=0,0,((data!$C53*$D12)/(((data!$M$7-data!$M$11)*10^-6)*$H12))*3600),IF($H12=0,0,$AS12/$H12)))</f>
        <v>29.59333333333334</v>
      </c>
      <c r="AU12" s="55">
        <f>IF(data!A5=0,0,IF(E12=0,0,$AS12/($E12*$F12*$G12)))</f>
        <v>0.15219428571428575</v>
      </c>
      <c r="AV12" s="56">
        <f>IF(data!A5=0,0,IF($AU12&gt;0.5,$AS12,0.5*($E12*$F12*$G12)))</f>
        <v>4375</v>
      </c>
      <c r="AW12" s="35"/>
      <c r="AX12" s="35"/>
      <c r="AY12" s="35"/>
      <c r="AZ12" s="35"/>
      <c r="BA12" s="35"/>
      <c r="BB12" s="35"/>
      <c r="BC12" s="35"/>
      <c r="BD12" s="35"/>
    </row>
    <row r="13" spans="2:56" ht="15" customHeight="1">
      <c r="B13" s="4" t="s">
        <v>3</v>
      </c>
      <c r="C13" s="66"/>
      <c r="D13" s="156"/>
      <c r="E13" s="157">
        <v>0</v>
      </c>
      <c r="F13" s="158">
        <v>0</v>
      </c>
      <c r="G13" s="156">
        <v>0</v>
      </c>
      <c r="H13" s="159">
        <v>0</v>
      </c>
      <c r="I13" s="60">
        <f>IF(data!A6=0,0,CHOOSE(data!$G$3,data!D32,data!E32,data!F32,data!G32,data!H32,data!I32,data!J32,data!K32,data!L32,data!M32,data!N32,data!O32,data!P32,data!Q32,data!R32,data!S32,data!T32,data!U32,data!V32,data!W32))</f>
        <v>0</v>
      </c>
      <c r="J13" s="159">
        <v>0</v>
      </c>
      <c r="K13" s="158">
        <v>0</v>
      </c>
      <c r="L13" s="158">
        <v>0</v>
      </c>
      <c r="M13" s="158">
        <v>0</v>
      </c>
      <c r="N13" s="64">
        <f>IF(data!$A$3=0,0,IF($H13=0,0,IF(data!$D6=1,0,IF(data!$G$3=data!$B6,70,30))))</f>
        <v>0</v>
      </c>
      <c r="O13" s="159">
        <v>0</v>
      </c>
      <c r="P13" s="158">
        <v>0</v>
      </c>
      <c r="Q13" s="158">
        <v>0</v>
      </c>
      <c r="R13" s="158">
        <v>0</v>
      </c>
      <c r="S13" s="22">
        <f>IF(data!$D6=1,0,IF(data!$G$3=data!$B6,40,0))</f>
        <v>0</v>
      </c>
      <c r="T13" s="23">
        <f>IF(data!$D6=1,0,IF(data!$A6=0,0,(J13/Zadání!$H$18)))</f>
        <v>0</v>
      </c>
      <c r="U13" s="24">
        <f>IF(data!$D6=1,0,IF(data!$A6=0,0,(K13/Zadání!$H$18)))</f>
        <v>0</v>
      </c>
      <c r="V13" s="25">
        <f>IF(data!$D6=1,0,IF(data!A6=0,0,(L13/Zadání!$H$18)))</f>
        <v>0</v>
      </c>
      <c r="W13" s="23">
        <f>IF(data!$D6=1,0,IF(data!$R$13=2,0,IF(data!$A6=0,0,(O13/Zadání!$H$18))))</f>
        <v>0</v>
      </c>
      <c r="X13" s="24">
        <f>IF(data!$D6=1,0,IF(data!A6=0,0,(P13/Zadání!$H$18)))</f>
        <v>0</v>
      </c>
      <c r="Y13" s="25">
        <f>IF(data!$D6=1,0,IF(data!A6=0,0,(Q13/Zadání!$H$18)))</f>
        <v>0</v>
      </c>
      <c r="Z13" s="26">
        <f>IF(data!$D6=1,0,IF(data!A6=0,0,$H13/Zadání!$F$21))</f>
        <v>0</v>
      </c>
      <c r="AA13" s="27">
        <f>IF(data!A6=0,0,$T13*$Z13)</f>
        <v>0</v>
      </c>
      <c r="AB13" s="27">
        <f>IF(data!A6=0,0,$U13*$Z13)</f>
        <v>0</v>
      </c>
      <c r="AC13" s="27">
        <f>IF(data!A6=0,0,$V13*$Z13)</f>
        <v>0</v>
      </c>
      <c r="AD13" s="28">
        <f>IF(data!A6=0,0,$N13*$Z13)</f>
        <v>0</v>
      </c>
      <c r="AE13" s="63">
        <f>IF(data!$D6=1,0,IF(data!A6=0,0,($I13/Zadání!$F$21)))</f>
        <v>0</v>
      </c>
      <c r="AF13" s="27">
        <f>IF(data!A6=0,0,$W13*$AE13)</f>
        <v>0</v>
      </c>
      <c r="AG13" s="27">
        <f>IF(data!A6=0,0,$X13*$AE13)</f>
        <v>0</v>
      </c>
      <c r="AH13" s="27">
        <f>IF(data!A6=0,0,$Y13*$AE13)</f>
        <v>0</v>
      </c>
      <c r="AI13" s="28">
        <f>IF(data!A6=0,0,$S13*$AE13)</f>
        <v>0</v>
      </c>
      <c r="AJ13" s="36">
        <f>IF(data!A6=0,0,$AA13+AF13)</f>
        <v>0</v>
      </c>
      <c r="AK13" s="37">
        <f>IF(data!A6=0,0,AB13+AG13)</f>
        <v>0</v>
      </c>
      <c r="AL13" s="37">
        <f>IF(data!A6=0,0,AC13+AH13)</f>
        <v>0</v>
      </c>
      <c r="AM13" s="38">
        <f>IF(data!A6=0,0,AD13+AI13)</f>
        <v>0</v>
      </c>
      <c r="AN13" s="39">
        <f>IF(data!A6=0,0,$AJ13*data!$M$3)</f>
        <v>0</v>
      </c>
      <c r="AO13" s="40">
        <f>IF(data!A6=0,0,$AK13*data!$M$4)</f>
        <v>0</v>
      </c>
      <c r="AP13" s="40">
        <f>IF(data!A6=0,0,IF(AL13=0,0,VLOOKUP($M13,data!$O$4:$P$6,2)*(AL13)))</f>
        <v>0</v>
      </c>
      <c r="AQ13" s="40">
        <f>IF(data!A6=0,0,$AM13*data!$M$5)</f>
        <v>0</v>
      </c>
      <c r="AR13" s="41">
        <f>IF(data!A6=0,0,$AN13+$AO13+$AP13+$AQ13)</f>
        <v>0</v>
      </c>
      <c r="AS13" s="54">
        <f>IF($H13=0,0,IF(data!$D6=1,($AT13*$H13),IF(data!$I$6=1,IF(data!$A6=0,0,($AR13/((data!$M$7-data!$M$11)*10^-6))),IF(data!A6=0,0,($AR13/((data!$M$8-data!$M$11)*10^-6))))))</f>
        <v>0</v>
      </c>
      <c r="AT13" s="51">
        <f>IF(data!$A6=0,0,IF(data!$D6=1,IF(H13=0,0,((data!$C54*$D13)/(((data!$M$7-data!$M$11)*10^-6)*$H13))*3600),IF($H13=0,0,$AS13/$H13)))</f>
        <v>0</v>
      </c>
      <c r="AU13" s="55">
        <f>IF(data!A6=0,0,IF(E13=0,0,$AS13/($E13*$F13*$G13)))</f>
        <v>0</v>
      </c>
      <c r="AV13" s="56">
        <f>IF(data!A6=0,0,IF($AU13&gt;0.5,$AS13,0.5*($E13*$F13*$G13)))</f>
        <v>0</v>
      </c>
      <c r="AW13" s="35"/>
      <c r="AX13" s="35"/>
      <c r="AY13" s="35"/>
      <c r="AZ13" s="35"/>
      <c r="BA13" s="35"/>
      <c r="BB13" s="35"/>
      <c r="BC13" s="35"/>
      <c r="BD13" s="35"/>
    </row>
    <row r="14" spans="2:56" ht="15" customHeight="1">
      <c r="B14" s="4" t="s">
        <v>4</v>
      </c>
      <c r="C14" s="66"/>
      <c r="D14" s="156"/>
      <c r="E14" s="157">
        <v>0</v>
      </c>
      <c r="F14" s="158">
        <v>0</v>
      </c>
      <c r="G14" s="156">
        <v>0</v>
      </c>
      <c r="H14" s="159">
        <v>0</v>
      </c>
      <c r="I14" s="60">
        <f>IF(data!A7=0,0,CHOOSE(data!$G$3,data!D33,data!E33,data!F33,data!G33,data!H33,data!I33,data!J33,data!K33,data!L33,data!M33,data!N33,data!O33,data!P33,data!Q33,data!R33,data!S33,data!T33,data!U33,data!V33,data!W33))</f>
        <v>0</v>
      </c>
      <c r="J14" s="159">
        <v>0</v>
      </c>
      <c r="K14" s="158">
        <v>0</v>
      </c>
      <c r="L14" s="158">
        <v>0</v>
      </c>
      <c r="M14" s="158">
        <v>0</v>
      </c>
      <c r="N14" s="64">
        <f>IF(data!$A$3=0,0,IF($H14=0,0,IF(data!$D7=1,0,IF(data!$G$3=data!$B7,70,30))))</f>
        <v>0</v>
      </c>
      <c r="O14" s="159">
        <v>0</v>
      </c>
      <c r="P14" s="158">
        <v>0</v>
      </c>
      <c r="Q14" s="158">
        <v>0</v>
      </c>
      <c r="R14" s="158">
        <v>0</v>
      </c>
      <c r="S14" s="22">
        <f>IF(data!$D7=1,0,IF(data!$G$3=data!$B7,40,0))</f>
        <v>0</v>
      </c>
      <c r="T14" s="23">
        <f>IF(data!$D7=1,0,IF(data!$A7=0,0,(J14/Zadání!$H$18)))</f>
        <v>0</v>
      </c>
      <c r="U14" s="24">
        <f>IF(data!$D7=1,0,IF(data!$A7=0,0,(K14/Zadání!$H$18)))</f>
        <v>0</v>
      </c>
      <c r="V14" s="25">
        <f>IF(data!$D7=1,0,IF(data!A7=0,0,(L14/Zadání!$H$18)))</f>
        <v>0</v>
      </c>
      <c r="W14" s="23">
        <f>IF(data!$D7=1,0,IF(data!$R$13=2,0,IF(data!$A7=0,0,(O14/Zadání!$H$18))))</f>
        <v>0</v>
      </c>
      <c r="X14" s="24">
        <f>IF(data!$D7=1,0,IF(data!A7=0,0,(P14/Zadání!$H$18)))</f>
        <v>0</v>
      </c>
      <c r="Y14" s="25">
        <f>IF(data!$D7=1,0,IF(data!A7=0,0,(Q14/Zadání!$H$18)))</f>
        <v>0</v>
      </c>
      <c r="Z14" s="26">
        <f>IF(data!$D7=1,0,IF(data!A7=0,0,$H14/Zadání!$F$21))</f>
        <v>0</v>
      </c>
      <c r="AA14" s="27">
        <f>IF(data!A7=0,0,$T14*$Z14)</f>
        <v>0</v>
      </c>
      <c r="AB14" s="27">
        <f>IF(data!A7=0,0,$U14*$Z14)</f>
        <v>0</v>
      </c>
      <c r="AC14" s="27">
        <f>IF(data!A7=0,0,$V14*$Z14)</f>
        <v>0</v>
      </c>
      <c r="AD14" s="28">
        <f>IF(data!A7=0,0,$N14*$Z14)</f>
        <v>0</v>
      </c>
      <c r="AE14" s="63">
        <f>IF(data!$D7=1,0,IF(data!A7=0,0,($I14/Zadání!$F$21)))</f>
        <v>0</v>
      </c>
      <c r="AF14" s="27">
        <f>IF(data!A7=0,0,$W14*$AE14)</f>
        <v>0</v>
      </c>
      <c r="AG14" s="27">
        <f>IF(data!A7=0,0,$X14*$AE14)</f>
        <v>0</v>
      </c>
      <c r="AH14" s="27">
        <f>IF(data!A7=0,0,$Y14*$AE14)</f>
        <v>0</v>
      </c>
      <c r="AI14" s="28">
        <f>IF(data!A7=0,0,$S14*$AE14)</f>
        <v>0</v>
      </c>
      <c r="AJ14" s="36">
        <f>IF(data!A7=0,0,$AA14+AF14)</f>
        <v>0</v>
      </c>
      <c r="AK14" s="37">
        <f>IF(data!A7=0,0,AB14+AG14)</f>
        <v>0</v>
      </c>
      <c r="AL14" s="37">
        <f>IF(data!A7=0,0,AC14+AH14)</f>
        <v>0</v>
      </c>
      <c r="AM14" s="38">
        <f>IF(data!A7=0,0,AD14+AI14)</f>
        <v>0</v>
      </c>
      <c r="AN14" s="39">
        <f>IF(data!A7=0,0,$AJ14*data!$M$3)</f>
        <v>0</v>
      </c>
      <c r="AO14" s="40">
        <f>IF(data!A7=0,0,$AK14*data!$M$4)</f>
        <v>0</v>
      </c>
      <c r="AP14" s="40">
        <f>IF(data!A7=0,0,IF(AL14=0,0,VLOOKUP($M14,data!$O$4:$P$6,2)*(AL14)))</f>
        <v>0</v>
      </c>
      <c r="AQ14" s="40">
        <f>IF(data!A7=0,0,$AM14*data!$M$5)</f>
        <v>0</v>
      </c>
      <c r="AR14" s="41">
        <f>IF(data!A7=0,0,$AN14+$AO14+$AP14+$AQ14)</f>
        <v>0</v>
      </c>
      <c r="AS14" s="54">
        <f>IF($H14=0,0,IF(data!$D7=1,($AT14*$H14),IF(data!$I$6=1,IF(data!$A7=0,0,($AR14/((data!$M$7-data!$M$11)*10^-6))),IF(data!A7=0,0,($AR14/((data!$M$8-data!$M$11)*10^-6))))))</f>
        <v>0</v>
      </c>
      <c r="AT14" s="51">
        <f>IF(data!$A7=0,0,IF(data!$D7=1,IF(H14=0,0,((data!$C55*$D14)/(((data!$M$7-data!$M$11)*10^-6)*$H14))*3600),IF($H14=0,0,$AS14/$H14)))</f>
        <v>0</v>
      </c>
      <c r="AU14" s="55">
        <f>IF(data!A7=0,0,IF(E14=0,0,$AS14/($E14*$F14*$G14)))</f>
        <v>0</v>
      </c>
      <c r="AV14" s="56">
        <f>IF(data!A7=0,0,IF($AU14&gt;0.5,$AS14,0.5*($E14*$F14*$G14)))</f>
        <v>0</v>
      </c>
      <c r="AW14" s="35"/>
      <c r="AX14" s="35"/>
      <c r="AY14" s="35"/>
      <c r="AZ14" s="35"/>
      <c r="BA14" s="35"/>
      <c r="BB14" s="35"/>
      <c r="BC14" s="35"/>
      <c r="BD14" s="35"/>
    </row>
    <row r="15" spans="2:56" ht="15" customHeight="1">
      <c r="B15" s="4" t="s">
        <v>5</v>
      </c>
      <c r="C15" s="66"/>
      <c r="D15" s="156"/>
      <c r="E15" s="157">
        <v>0</v>
      </c>
      <c r="F15" s="158">
        <v>0</v>
      </c>
      <c r="G15" s="156">
        <v>0</v>
      </c>
      <c r="H15" s="159">
        <v>0</v>
      </c>
      <c r="I15" s="60">
        <f>IF(data!A8=0,0,CHOOSE(data!$G$3,data!D34,data!E34,data!F34,data!G34,data!H34,data!I34,data!J34,data!K34,data!L34,data!M34,data!N34,data!O34,data!P34,data!Q34,data!R34,data!S34,data!T34,data!U34,data!V34,data!W34))</f>
        <v>0</v>
      </c>
      <c r="J15" s="159">
        <v>0</v>
      </c>
      <c r="K15" s="158">
        <v>0</v>
      </c>
      <c r="L15" s="158">
        <v>0</v>
      </c>
      <c r="M15" s="158">
        <v>0</v>
      </c>
      <c r="N15" s="64">
        <f>IF(data!$A$3=0,0,IF($H15=0,0,IF(data!$D8=1,0,IF(data!$G$3=data!$B8,70,30))))</f>
        <v>0</v>
      </c>
      <c r="O15" s="159">
        <v>0</v>
      </c>
      <c r="P15" s="158">
        <v>0</v>
      </c>
      <c r="Q15" s="158">
        <v>0</v>
      </c>
      <c r="R15" s="158">
        <v>0</v>
      </c>
      <c r="S15" s="22">
        <f>IF(data!$D8=1,0,IF(data!$G$3=data!$B8,40,0))</f>
        <v>0</v>
      </c>
      <c r="T15" s="23">
        <f>IF(data!$D8=1,0,IF(data!$A8=0,0,(J15/Zadání!$H$18)))</f>
        <v>0</v>
      </c>
      <c r="U15" s="24">
        <f>IF(data!$D8=1,0,IF(data!$A8=0,0,(K15/Zadání!$H$18)))</f>
        <v>0</v>
      </c>
      <c r="V15" s="25">
        <f>IF(data!$D8=1,0,IF(data!A8=0,0,(L15/Zadání!$H$18)))</f>
        <v>0</v>
      </c>
      <c r="W15" s="23">
        <f>IF(data!$D8=1,0,IF(data!$R$13=2,0,IF(data!$A8=0,0,(O15/Zadání!$H$18))))</f>
        <v>0</v>
      </c>
      <c r="X15" s="24">
        <f>IF(data!$D8=1,0,IF(data!A8=0,0,(P15/Zadání!$H$18)))</f>
        <v>0</v>
      </c>
      <c r="Y15" s="25">
        <f>IF(data!$D8=1,0,IF(data!A8=0,0,(Q15/Zadání!$H$18)))</f>
        <v>0</v>
      </c>
      <c r="Z15" s="26">
        <f>IF(data!$D8=1,0,IF(data!A8=0,0,$H15/Zadání!$F$21))</f>
        <v>0</v>
      </c>
      <c r="AA15" s="27">
        <f>IF(data!A8=0,0,$T15*$Z15)</f>
        <v>0</v>
      </c>
      <c r="AB15" s="27">
        <f>IF(data!A8=0,0,$U15*$Z15)</f>
        <v>0</v>
      </c>
      <c r="AC15" s="27">
        <f>IF(data!A8=0,0,$V15*$Z15)</f>
        <v>0</v>
      </c>
      <c r="AD15" s="28">
        <f>IF(data!A8=0,0,$N15*$Z15)</f>
        <v>0</v>
      </c>
      <c r="AE15" s="63">
        <f>IF(data!$D8=1,0,IF(data!A8=0,0,($I15/Zadání!$F$21)))</f>
        <v>0</v>
      </c>
      <c r="AF15" s="27">
        <f>IF(data!A8=0,0,$W15*$AE15)</f>
        <v>0</v>
      </c>
      <c r="AG15" s="27">
        <f>IF(data!A8=0,0,$X15*$AE15)</f>
        <v>0</v>
      </c>
      <c r="AH15" s="27">
        <f>IF(data!A8=0,0,$Y15*$AE15)</f>
        <v>0</v>
      </c>
      <c r="AI15" s="28">
        <f>IF(data!A8=0,0,$S15*$AE15)</f>
        <v>0</v>
      </c>
      <c r="AJ15" s="36">
        <f>IF(data!A8=0,0,$AA15+AF15)</f>
        <v>0</v>
      </c>
      <c r="AK15" s="37">
        <f>IF(data!A8=0,0,AB15+AG15)</f>
        <v>0</v>
      </c>
      <c r="AL15" s="37">
        <f>IF(data!A8=0,0,AC15+AH15)</f>
        <v>0</v>
      </c>
      <c r="AM15" s="38">
        <f>IF(data!A8=0,0,AD15+AI15)</f>
        <v>0</v>
      </c>
      <c r="AN15" s="39">
        <f>IF(data!A8=0,0,$AJ15*data!$M$3)</f>
        <v>0</v>
      </c>
      <c r="AO15" s="40">
        <f>IF(data!A8=0,0,$AK15*data!$M$4)</f>
        <v>0</v>
      </c>
      <c r="AP15" s="40">
        <f>IF(data!A8=0,0,IF(AL15=0,0,VLOOKUP($M15,data!$O$4:$P$6,2)*(AL15)))</f>
        <v>0</v>
      </c>
      <c r="AQ15" s="40">
        <f>IF(data!A8=0,0,$AM15*data!$M$5)</f>
        <v>0</v>
      </c>
      <c r="AR15" s="41">
        <f>IF(data!A8=0,0,$AN15+$AO15+$AP15+$AQ15)</f>
        <v>0</v>
      </c>
      <c r="AS15" s="54">
        <f>IF($H15=0,0,IF(data!$D8=1,($AT15*$H15),IF(data!$I$6=1,IF(data!$A8=0,0,($AR15/((data!$M$7-data!$M$11)*10^-6))),IF(data!A8=0,0,($AR15/((data!$M$8-data!$M$11)*10^-6))))))</f>
        <v>0</v>
      </c>
      <c r="AT15" s="51">
        <f>IF(data!$A8=0,0,IF(data!$D8=1,IF(H15=0,0,((data!$C56*$D15)/(((data!$M$7-data!$M$11)*10^-6)*$H15))*3600),IF($H15=0,0,$AS15/$H15)))</f>
        <v>0</v>
      </c>
      <c r="AU15" s="55">
        <f>IF(data!A8=0,0,IF(E15=0,0,$AS15/($E15*$F15*$G15)))</f>
        <v>0</v>
      </c>
      <c r="AV15" s="56">
        <f>IF(data!A8=0,0,IF($AU15&gt;0.5,$AS15,0.5*($E15*$F15*$G15)))</f>
        <v>0</v>
      </c>
      <c r="AW15" s="35"/>
      <c r="AX15" s="35"/>
      <c r="AY15" s="35"/>
      <c r="AZ15" s="35"/>
      <c r="BA15" s="35"/>
      <c r="BB15" s="35"/>
      <c r="BC15" s="35"/>
      <c r="BD15" s="35"/>
    </row>
    <row r="16" spans="2:56" ht="15" customHeight="1">
      <c r="B16" s="4" t="s">
        <v>6</v>
      </c>
      <c r="C16" s="66"/>
      <c r="D16" s="156"/>
      <c r="E16" s="157">
        <v>0</v>
      </c>
      <c r="F16" s="158">
        <v>0</v>
      </c>
      <c r="G16" s="156">
        <v>0</v>
      </c>
      <c r="H16" s="159">
        <v>0</v>
      </c>
      <c r="I16" s="60">
        <f>IF(data!A9=0,0,CHOOSE(data!$G$3,data!D35,data!E35,data!F35,data!G35,data!H35,data!I35,data!J35,data!K35,data!L35,data!M35,data!N35,data!O35,data!P35,data!Q35,data!R35,data!S35,data!T35,data!U35,data!V35,data!W35))</f>
        <v>0</v>
      </c>
      <c r="J16" s="159">
        <v>0</v>
      </c>
      <c r="K16" s="158">
        <v>0</v>
      </c>
      <c r="L16" s="158">
        <v>0</v>
      </c>
      <c r="M16" s="158">
        <v>0</v>
      </c>
      <c r="N16" s="64">
        <f>IF(data!$A$3=0,0,IF($H16=0,0,IF(data!$D9=1,0,IF(data!$G$3=data!$B9,70,30))))</f>
        <v>0</v>
      </c>
      <c r="O16" s="159">
        <v>0</v>
      </c>
      <c r="P16" s="158">
        <v>0</v>
      </c>
      <c r="Q16" s="158">
        <v>0</v>
      </c>
      <c r="R16" s="158">
        <v>0</v>
      </c>
      <c r="S16" s="22">
        <f>IF(data!$D9=1,0,IF(data!$G$3=data!$B9,40,0))</f>
        <v>0</v>
      </c>
      <c r="T16" s="23">
        <f>IF(data!$D9=1,0,IF(data!$A9=0,0,(J16/Zadání!$H$18)))</f>
        <v>0</v>
      </c>
      <c r="U16" s="24">
        <f>IF(data!$D9=1,0,IF(data!$A9=0,0,(K16/Zadání!$H$18)))</f>
        <v>0</v>
      </c>
      <c r="V16" s="25">
        <f>IF(data!$D9=1,0,IF(data!A9=0,0,(L16/Zadání!$H$18)))</f>
        <v>0</v>
      </c>
      <c r="W16" s="23">
        <f>IF(data!$D9=1,0,IF(data!$R$13=2,0,IF(data!$A9=0,0,(O16/Zadání!$H$18))))</f>
        <v>0</v>
      </c>
      <c r="X16" s="24">
        <f>IF(data!$D9=1,0,IF(data!A9=0,0,(P16/Zadání!$H$18)))</f>
        <v>0</v>
      </c>
      <c r="Y16" s="25">
        <f>IF(data!$D9=1,0,IF(data!A9=0,0,(Q16/Zadání!$H$18)))</f>
        <v>0</v>
      </c>
      <c r="Z16" s="26">
        <f>IF(data!$D9=1,0,IF(data!A9=0,0,$H16/Zadání!$F$21))</f>
        <v>0</v>
      </c>
      <c r="AA16" s="27">
        <f>IF(data!A9=0,0,$T16*$Z16)</f>
        <v>0</v>
      </c>
      <c r="AB16" s="27">
        <f>IF(data!A9=0,0,$U16*$Z16)</f>
        <v>0</v>
      </c>
      <c r="AC16" s="27">
        <f>IF(data!A9=0,0,$V16*$Z16)</f>
        <v>0</v>
      </c>
      <c r="AD16" s="28">
        <f>IF(data!A9=0,0,$N16*$Z16)</f>
        <v>0</v>
      </c>
      <c r="AE16" s="63">
        <f>IF(data!$D9=1,0,IF(data!A9=0,0,($I16/Zadání!$F$21)))</f>
        <v>0</v>
      </c>
      <c r="AF16" s="27">
        <f>IF(data!A9=0,0,$W16*$AE16)</f>
        <v>0</v>
      </c>
      <c r="AG16" s="27">
        <f>IF(data!A9=0,0,$X16*$AE16)</f>
        <v>0</v>
      </c>
      <c r="AH16" s="27">
        <f>IF(data!A9=0,0,$Y16*$AE16)</f>
        <v>0</v>
      </c>
      <c r="AI16" s="28">
        <f>IF(data!A9=0,0,$S16*$AE16)</f>
        <v>0</v>
      </c>
      <c r="AJ16" s="36">
        <f>IF(data!A9=0,0,$AA16+AF16)</f>
        <v>0</v>
      </c>
      <c r="AK16" s="37">
        <f>IF(data!A9=0,0,AB16+AG16)</f>
        <v>0</v>
      </c>
      <c r="AL16" s="37">
        <f>IF(data!A9=0,0,AC16+AH16)</f>
        <v>0</v>
      </c>
      <c r="AM16" s="38">
        <f>IF(data!A9=0,0,AD16+AI16)</f>
        <v>0</v>
      </c>
      <c r="AN16" s="39">
        <f>IF(data!A9=0,0,$AJ16*data!$M$3)</f>
        <v>0</v>
      </c>
      <c r="AO16" s="40">
        <f>IF(data!A9=0,0,$AK16*data!$M$4)</f>
        <v>0</v>
      </c>
      <c r="AP16" s="40">
        <f>IF(data!A9=0,0,IF(AL16=0,0,VLOOKUP($M16,data!$O$4:$P$6,2)*(AL16)))</f>
        <v>0</v>
      </c>
      <c r="AQ16" s="40">
        <f>IF(data!A9=0,0,$AM16*data!$M$5)</f>
        <v>0</v>
      </c>
      <c r="AR16" s="41">
        <f>IF(data!A9=0,0,$AN16+$AO16+$AP16+$AQ16)</f>
        <v>0</v>
      </c>
      <c r="AS16" s="54">
        <f>IF($H16=0,0,IF(data!$D9=1,($AT16*$H16),IF(data!$I$6=1,IF(data!$A9=0,0,($AR16/((data!$M$7-data!$M$11)*10^-6))),IF(data!A9=0,0,($AR16/((data!$M$8-data!$M$11)*10^-6))))))</f>
        <v>0</v>
      </c>
      <c r="AT16" s="51">
        <f>IF(data!$A9=0,0,IF(data!$D9=1,IF(H16=0,0,((data!$C57*$D16)/(((data!$M$7-data!$M$11)*10^-6)*$H16))*3600),IF($H16=0,0,$AS16/$H16)))</f>
        <v>0</v>
      </c>
      <c r="AU16" s="55">
        <f>IF(data!A9=0,0,IF(E16=0,0,$AS16/($E16*$F16*$G16)))</f>
        <v>0</v>
      </c>
      <c r="AV16" s="56">
        <f>IF(data!A9=0,0,IF($AU16&gt;0.5,$AS16,0.5*($E16*$F16*$G16)))</f>
        <v>0</v>
      </c>
      <c r="AW16" s="35"/>
      <c r="AX16" s="35"/>
      <c r="AY16" s="35"/>
      <c r="AZ16" s="35"/>
      <c r="BA16" s="35"/>
      <c r="BB16" s="35"/>
      <c r="BC16" s="35"/>
      <c r="BD16" s="35"/>
    </row>
    <row r="17" spans="2:56" ht="15" customHeight="1">
      <c r="B17" s="4" t="s">
        <v>7</v>
      </c>
      <c r="C17" s="66"/>
      <c r="D17" s="156"/>
      <c r="E17" s="157">
        <v>0</v>
      </c>
      <c r="F17" s="158">
        <v>0</v>
      </c>
      <c r="G17" s="156">
        <v>0</v>
      </c>
      <c r="H17" s="159">
        <v>0</v>
      </c>
      <c r="I17" s="60">
        <f>IF(data!A10=0,0,CHOOSE(data!$G$3,data!D36,data!E36,data!F36,data!G36,data!H36,data!I36,data!J36,data!K36,data!L36,data!M36,data!N36,data!O36,data!P36,data!Q36,data!R36,data!S36,data!T36,data!U36,data!V36,data!W36))</f>
        <v>0</v>
      </c>
      <c r="J17" s="159">
        <v>0</v>
      </c>
      <c r="K17" s="158">
        <v>0</v>
      </c>
      <c r="L17" s="158">
        <v>0</v>
      </c>
      <c r="M17" s="158">
        <v>0</v>
      </c>
      <c r="N17" s="64">
        <f>IF(data!$A$3=0,0,IF($H17=0,0,IF(data!$D10=1,0,IF(data!$G$3=data!$B10,70,30))))</f>
        <v>0</v>
      </c>
      <c r="O17" s="159">
        <v>0</v>
      </c>
      <c r="P17" s="158">
        <v>0</v>
      </c>
      <c r="Q17" s="158">
        <v>0</v>
      </c>
      <c r="R17" s="158">
        <v>0</v>
      </c>
      <c r="S17" s="22">
        <f>IF(data!$D10=1,0,IF(data!$G$3=data!$B10,40,0))</f>
        <v>0</v>
      </c>
      <c r="T17" s="23">
        <f>IF(data!$D10=1,0,IF(data!$A10=0,0,(J17/Zadání!$H$18)))</f>
        <v>0</v>
      </c>
      <c r="U17" s="24">
        <f>IF(data!$D10=1,0,IF(data!$A10=0,0,(K17/Zadání!$H$18)))</f>
        <v>0</v>
      </c>
      <c r="V17" s="25">
        <f>IF(data!$D10=1,0,IF(data!A10=0,0,(L17/Zadání!$H$18)))</f>
        <v>0</v>
      </c>
      <c r="W17" s="23">
        <f>IF(data!$D10=1,0,IF(data!$R$13=2,0,IF(data!$A10=0,0,(O17/Zadání!$H$18))))</f>
        <v>0</v>
      </c>
      <c r="X17" s="24">
        <f>IF(data!$D10=1,0,IF(data!A10=0,0,(P17/Zadání!$H$18)))</f>
        <v>0</v>
      </c>
      <c r="Y17" s="25">
        <f>IF(data!$D10=1,0,IF(data!A10=0,0,(Q17/Zadání!$H$18)))</f>
        <v>0</v>
      </c>
      <c r="Z17" s="26">
        <f>IF(data!$D10=1,0,IF(data!A10=0,0,$H17/Zadání!$F$21))</f>
        <v>0</v>
      </c>
      <c r="AA17" s="27">
        <f>IF(data!A10=0,0,$T17*$Z17)</f>
        <v>0</v>
      </c>
      <c r="AB17" s="27">
        <f>IF(data!A10=0,0,$U17*$Z17)</f>
        <v>0</v>
      </c>
      <c r="AC17" s="27">
        <f>IF(data!A10=0,0,$V17*$Z17)</f>
        <v>0</v>
      </c>
      <c r="AD17" s="28">
        <f>IF(data!A10=0,0,$N17*$Z17)</f>
        <v>0</v>
      </c>
      <c r="AE17" s="63">
        <f>IF(data!$D10=1,0,IF(data!A10=0,0,($I17/Zadání!$F$21)))</f>
        <v>0</v>
      </c>
      <c r="AF17" s="27">
        <f>IF(data!A10=0,0,$W17*$AE17)</f>
        <v>0</v>
      </c>
      <c r="AG17" s="27">
        <f>IF(data!A10=0,0,$X17*$AE17)</f>
        <v>0</v>
      </c>
      <c r="AH17" s="27">
        <f>IF(data!A10=0,0,$Y17*$AE17)</f>
        <v>0</v>
      </c>
      <c r="AI17" s="28">
        <f>IF(data!A10=0,0,$S17*$AE17)</f>
        <v>0</v>
      </c>
      <c r="AJ17" s="36">
        <f>IF(data!A10=0,0,$AA17+AF17)</f>
        <v>0</v>
      </c>
      <c r="AK17" s="37">
        <f>IF(data!A10=0,0,AB17+AG17)</f>
        <v>0</v>
      </c>
      <c r="AL17" s="37">
        <f>IF(data!A10=0,0,AC17+AH17)</f>
        <v>0</v>
      </c>
      <c r="AM17" s="38">
        <f>IF(data!A10=0,0,AD17+AI17)</f>
        <v>0</v>
      </c>
      <c r="AN17" s="39">
        <f>IF(data!A10=0,0,$AJ17*data!$M$3)</f>
        <v>0</v>
      </c>
      <c r="AO17" s="40">
        <f>IF(data!A10=0,0,$AK17*data!$M$4)</f>
        <v>0</v>
      </c>
      <c r="AP17" s="40">
        <f>IF(data!A10=0,0,IF(AL17=0,0,VLOOKUP($M17,data!$O$4:$P$6,2)*(AL17)))</f>
        <v>0</v>
      </c>
      <c r="AQ17" s="40">
        <f>IF(data!A10=0,0,$AM17*data!$M$5)</f>
        <v>0</v>
      </c>
      <c r="AR17" s="41">
        <f>IF(data!A10=0,0,$AN17+$AO17+$AP17+$AQ17)</f>
        <v>0</v>
      </c>
      <c r="AS17" s="54">
        <f>IF($H17=0,0,IF(data!$D10=1,($AT17*$H17),IF(data!$I$6=1,IF(data!$A10=0,0,($AR17/((data!$M$7-data!$M$11)*10^-6))),IF(data!A10=0,0,($AR17/((data!$M$8-data!$M$11)*10^-6))))))</f>
        <v>0</v>
      </c>
      <c r="AT17" s="51">
        <f>IF(data!$A10=0,0,IF(data!$D10=1,IF(H17=0,0,((data!$C58*$D17)/(((data!$M$7-data!$M$11)*10^-6)*$H17))*3600),IF($H17=0,0,$AS17/$H17)))</f>
        <v>0</v>
      </c>
      <c r="AU17" s="55">
        <f>IF(data!A10=0,0,IF(E17=0,0,$AS17/($E17*$F17*$G17)))</f>
        <v>0</v>
      </c>
      <c r="AV17" s="56">
        <f>IF(data!A10=0,0,IF($AU17&gt;0.5,$AS17,0.5*($E17*$F17*$G17)))</f>
        <v>0</v>
      </c>
      <c r="AW17" s="35"/>
      <c r="AX17" s="35"/>
      <c r="AY17" s="35"/>
      <c r="AZ17" s="35"/>
      <c r="BA17" s="35"/>
      <c r="BB17" s="35"/>
      <c r="BC17" s="35"/>
      <c r="BD17" s="35"/>
    </row>
    <row r="18" spans="2:56" ht="15" customHeight="1">
      <c r="B18" s="4" t="s">
        <v>8</v>
      </c>
      <c r="C18" s="66"/>
      <c r="D18" s="156"/>
      <c r="E18" s="157">
        <v>0</v>
      </c>
      <c r="F18" s="158">
        <v>0</v>
      </c>
      <c r="G18" s="156">
        <v>0</v>
      </c>
      <c r="H18" s="159">
        <v>0</v>
      </c>
      <c r="I18" s="60">
        <f>IF(data!A11=0,0,CHOOSE(data!$G$3,data!D37,data!E37,data!F37,data!G37,data!H37,data!I37,data!J37,data!K37,data!L37,data!M37,data!N37,data!O37,data!P37,data!Q37,data!R37,data!S37,data!T37,data!U37,data!V37,data!W37))</f>
        <v>0</v>
      </c>
      <c r="J18" s="159">
        <v>0</v>
      </c>
      <c r="K18" s="158">
        <v>0</v>
      </c>
      <c r="L18" s="158">
        <v>0</v>
      </c>
      <c r="M18" s="158">
        <v>0</v>
      </c>
      <c r="N18" s="64">
        <f>IF(data!$A$3=0,0,IF($H18=0,0,IF(data!$D11=1,0,IF(data!$G$3=data!$B11,70,30))))</f>
        <v>0</v>
      </c>
      <c r="O18" s="159">
        <v>0</v>
      </c>
      <c r="P18" s="158">
        <v>0</v>
      </c>
      <c r="Q18" s="158">
        <v>0</v>
      </c>
      <c r="R18" s="158">
        <v>0</v>
      </c>
      <c r="S18" s="22">
        <f>IF(data!$D11=1,0,IF(data!$G$3=data!$B11,40,0))</f>
        <v>0</v>
      </c>
      <c r="T18" s="23">
        <f>IF(data!$D11=1,0,IF(data!$A11=0,0,(J18/Zadání!$H$18)))</f>
        <v>0</v>
      </c>
      <c r="U18" s="24">
        <f>IF(data!$D11=1,0,IF(data!$A11=0,0,(K18/Zadání!$H$18)))</f>
        <v>0</v>
      </c>
      <c r="V18" s="25">
        <f>IF(data!$D11=1,0,IF(data!A11=0,0,(L18/Zadání!$H$18)))</f>
        <v>0</v>
      </c>
      <c r="W18" s="23">
        <f>IF(data!$D11=1,0,IF(data!$R$13=2,0,IF(data!$A11=0,0,(O18/Zadání!$H$18))))</f>
        <v>0</v>
      </c>
      <c r="X18" s="24">
        <f>IF(data!$D11=1,0,IF(data!A11=0,0,(P18/Zadání!$H$18)))</f>
        <v>0</v>
      </c>
      <c r="Y18" s="25">
        <f>IF(data!$D11=1,0,IF(data!A11=0,0,(Q18/Zadání!$H$18)))</f>
        <v>0</v>
      </c>
      <c r="Z18" s="26">
        <f>IF(data!$D11=1,0,IF(data!A11=0,0,$H18/Zadání!$F$21))</f>
        <v>0</v>
      </c>
      <c r="AA18" s="27">
        <f>IF(data!A11=0,0,$T18*$Z18)</f>
        <v>0</v>
      </c>
      <c r="AB18" s="27">
        <f>IF(data!A11=0,0,$U18*$Z18)</f>
        <v>0</v>
      </c>
      <c r="AC18" s="27">
        <f>IF(data!A11=0,0,$V18*$Z18)</f>
        <v>0</v>
      </c>
      <c r="AD18" s="28">
        <f>IF(data!A11=0,0,$N18*$Z18)</f>
        <v>0</v>
      </c>
      <c r="AE18" s="63">
        <f>IF(data!$D11=1,0,IF(data!A11=0,0,($I18/Zadání!$F$21)))</f>
        <v>0</v>
      </c>
      <c r="AF18" s="27">
        <f>IF(data!A11=0,0,$W18*$AE18)</f>
        <v>0</v>
      </c>
      <c r="AG18" s="27">
        <f>IF(data!A11=0,0,$X18*$AE18)</f>
        <v>0</v>
      </c>
      <c r="AH18" s="27">
        <f>IF(data!A11=0,0,$Y18*$AE18)</f>
        <v>0</v>
      </c>
      <c r="AI18" s="28">
        <f>IF(data!A11=0,0,$S18*$AE18)</f>
        <v>0</v>
      </c>
      <c r="AJ18" s="36">
        <f>IF(data!A11=0,0,$AA18+AF18)</f>
        <v>0</v>
      </c>
      <c r="AK18" s="37">
        <f>IF(data!A11=0,0,AB18+AG18)</f>
        <v>0</v>
      </c>
      <c r="AL18" s="37">
        <f>IF(data!A11=0,0,AC18+AH18)</f>
        <v>0</v>
      </c>
      <c r="AM18" s="38">
        <f>IF(data!A11=0,0,AD18+AI18)</f>
        <v>0</v>
      </c>
      <c r="AN18" s="39">
        <f>IF(data!A11=0,0,$AJ18*data!$M$3)</f>
        <v>0</v>
      </c>
      <c r="AO18" s="40">
        <f>IF(data!A11=0,0,$AK18*data!$M$4)</f>
        <v>0</v>
      </c>
      <c r="AP18" s="40">
        <f>IF(data!A11=0,0,IF(AL18=0,0,VLOOKUP($M18,data!$O$4:$P$6,2)*(AL18)))</f>
        <v>0</v>
      </c>
      <c r="AQ18" s="40">
        <f>IF(data!A11=0,0,$AM18*data!$M$5)</f>
        <v>0</v>
      </c>
      <c r="AR18" s="41">
        <f>IF(data!A11=0,0,$AN18+$AO18+$AP18+$AQ18)</f>
        <v>0</v>
      </c>
      <c r="AS18" s="54">
        <f>IF($H18=0,0,IF(data!$D11=1,($AT18*$H18),IF(data!$I$6=1,IF(data!$A11=0,0,($AR18/((data!$M$7-data!$M$11)*10^-6))),IF(data!A11=0,0,($AR18/((data!$M$8-data!$M$11)*10^-6))))))</f>
        <v>0</v>
      </c>
      <c r="AT18" s="51">
        <f>IF(data!$A11=0,0,IF(data!$D11=1,IF(H18=0,0,((data!$C59*$D18)/(((data!$M$7-data!$M$11)*10^-6)*$H18))*3600),IF($H18=0,0,$AS18/$H18)))</f>
        <v>0</v>
      </c>
      <c r="AU18" s="55">
        <f>IF(data!A11=0,0,IF(E18=0,0,$AS18/($E18*$F18*$G18)))</f>
        <v>0</v>
      </c>
      <c r="AV18" s="56">
        <f>IF(data!A11=0,0,IF($AU18&gt;0.5,$AS18,0.5*($E18*$F18*$G18)))</f>
        <v>0</v>
      </c>
      <c r="AW18" s="35"/>
      <c r="AX18" s="35"/>
      <c r="AY18" s="35"/>
      <c r="AZ18" s="35"/>
      <c r="BA18" s="35"/>
      <c r="BB18" s="35"/>
      <c r="BC18" s="35"/>
      <c r="BD18" s="35"/>
    </row>
    <row r="19" spans="2:56" ht="15" customHeight="1">
      <c r="B19" s="4" t="s">
        <v>9</v>
      </c>
      <c r="C19" s="66"/>
      <c r="D19" s="156"/>
      <c r="E19" s="157">
        <v>0</v>
      </c>
      <c r="F19" s="158">
        <v>0</v>
      </c>
      <c r="G19" s="156">
        <v>0</v>
      </c>
      <c r="H19" s="159">
        <v>0</v>
      </c>
      <c r="I19" s="60">
        <f>IF(data!A12=0,0,CHOOSE(data!$G$3,data!D38,data!E38,data!F38,data!G38,data!H38,data!I38,data!J38,data!K38,data!L38,data!M38,data!N38,data!O38,data!P38,data!Q38,data!R38,data!S38,data!T38,data!U38,data!V38,data!W38))</f>
        <v>0</v>
      </c>
      <c r="J19" s="159">
        <v>0</v>
      </c>
      <c r="K19" s="158">
        <v>0</v>
      </c>
      <c r="L19" s="158">
        <v>0</v>
      </c>
      <c r="M19" s="158">
        <v>0</v>
      </c>
      <c r="N19" s="64">
        <f>IF(data!$A$3=0,0,IF($H19=0,0,IF(data!$D12=1,0,IF(data!$G$3=data!$B12,70,30))))</f>
        <v>0</v>
      </c>
      <c r="O19" s="159">
        <v>0</v>
      </c>
      <c r="P19" s="158">
        <v>0</v>
      </c>
      <c r="Q19" s="158">
        <v>0</v>
      </c>
      <c r="R19" s="158">
        <v>0</v>
      </c>
      <c r="S19" s="22">
        <f>IF(data!$D12=1,0,IF(data!$G$3=data!$B12,40,0))</f>
        <v>0</v>
      </c>
      <c r="T19" s="23">
        <f>IF(data!$D12=1,0,IF(data!$A12=0,0,(J19/Zadání!$H$18)))</f>
        <v>0</v>
      </c>
      <c r="U19" s="24">
        <f>IF(data!$D12=1,0,IF(data!$A12=0,0,(K19/Zadání!$H$18)))</f>
        <v>0</v>
      </c>
      <c r="V19" s="25">
        <f>IF(data!$D12=1,0,IF(data!A12=0,0,(L19/Zadání!$H$18)))</f>
        <v>0</v>
      </c>
      <c r="W19" s="23">
        <f>IF(data!$D12=1,0,IF(data!$R$13=2,0,IF(data!$A12=0,0,(O19/Zadání!$H$18))))</f>
        <v>0</v>
      </c>
      <c r="X19" s="24">
        <f>IF(data!$D12=1,0,IF(data!A12=0,0,(P19/Zadání!$H$18)))</f>
        <v>0</v>
      </c>
      <c r="Y19" s="25">
        <f>IF(data!$D12=1,0,IF(data!A12=0,0,(Q19/Zadání!$H$18)))</f>
        <v>0</v>
      </c>
      <c r="Z19" s="26">
        <f>IF(data!$D12=1,0,IF(data!A12=0,0,$H19/Zadání!$F$21))</f>
        <v>0</v>
      </c>
      <c r="AA19" s="27">
        <f>IF(data!A12=0,0,$T19*$Z19)</f>
        <v>0</v>
      </c>
      <c r="AB19" s="27">
        <f>IF(data!A12=0,0,$U19*$Z19)</f>
        <v>0</v>
      </c>
      <c r="AC19" s="27">
        <f>IF(data!A12=0,0,$V19*$Z19)</f>
        <v>0</v>
      </c>
      <c r="AD19" s="28">
        <f>IF(data!A12=0,0,$N19*$Z19)</f>
        <v>0</v>
      </c>
      <c r="AE19" s="63">
        <f>IF(data!$D12=1,0,IF(data!A12=0,0,($I19/Zadání!$F$21)))</f>
        <v>0</v>
      </c>
      <c r="AF19" s="27">
        <f>IF(data!A12=0,0,$W19*$AE19)</f>
        <v>0</v>
      </c>
      <c r="AG19" s="27">
        <f>IF(data!A12=0,0,$X19*$AE19)</f>
        <v>0</v>
      </c>
      <c r="AH19" s="27">
        <f>IF(data!A12=0,0,$Y19*$AE19)</f>
        <v>0</v>
      </c>
      <c r="AI19" s="28">
        <f>IF(data!A12=0,0,$S19*$AE19)</f>
        <v>0</v>
      </c>
      <c r="AJ19" s="36">
        <f>IF(data!A12=0,0,$AA19+AF19)</f>
        <v>0</v>
      </c>
      <c r="AK19" s="37">
        <f>IF(data!A12=0,0,AB19+AG19)</f>
        <v>0</v>
      </c>
      <c r="AL19" s="37">
        <f>IF(data!A12=0,0,AC19+AH19)</f>
        <v>0</v>
      </c>
      <c r="AM19" s="38">
        <f>IF(data!A12=0,0,AD19+AI19)</f>
        <v>0</v>
      </c>
      <c r="AN19" s="39">
        <f>IF(data!A12=0,0,$AJ19*data!$M$3)</f>
        <v>0</v>
      </c>
      <c r="AO19" s="40">
        <f>IF(data!A12=0,0,$AK19*data!$M$4)</f>
        <v>0</v>
      </c>
      <c r="AP19" s="40">
        <f>IF(data!A12=0,0,IF(AL19=0,0,VLOOKUP($M19,data!$O$4:$P$6,2)*(AL19)))</f>
        <v>0</v>
      </c>
      <c r="AQ19" s="40">
        <f>IF(data!A12=0,0,$AM19*data!$M$5)</f>
        <v>0</v>
      </c>
      <c r="AR19" s="41">
        <f>IF(data!A12=0,0,$AN19+$AO19+$AP19+$AQ19)</f>
        <v>0</v>
      </c>
      <c r="AS19" s="54">
        <f>IF($H19=0,0,IF(data!$D12=1,($AT19*$H19),IF(data!$I$6=1,IF(data!$A12=0,0,($AR19/((data!$M$7-data!$M$11)*10^-6))),IF(data!A12=0,0,($AR19/((data!$M$8-data!$M$11)*10^-6))))))</f>
        <v>0</v>
      </c>
      <c r="AT19" s="51">
        <f>IF(data!$A12=0,0,IF(data!$D12=1,IF(H19=0,0,((data!$C60*$D19)/(((data!$M$7-data!$M$11)*10^-6)*$H19))*3600),IF($H19=0,0,$AS19/$H19)))</f>
        <v>0</v>
      </c>
      <c r="AU19" s="55">
        <f>IF(data!A12=0,0,IF(E19=0,0,$AS19/($E19*$F19*$G19)))</f>
        <v>0</v>
      </c>
      <c r="AV19" s="56">
        <f>IF(data!A12=0,0,IF($AU19&gt;0.5,$AS19,0.5*($E19*$F19*$G19)))</f>
        <v>0</v>
      </c>
      <c r="AW19" s="35"/>
      <c r="AX19" s="35"/>
      <c r="AY19" s="35"/>
      <c r="AZ19" s="35"/>
      <c r="BA19" s="35"/>
      <c r="BB19" s="35"/>
      <c r="BC19" s="35"/>
      <c r="BD19" s="35"/>
    </row>
    <row r="20" spans="2:56" ht="15" customHeight="1">
      <c r="B20" s="4" t="s">
        <v>10</v>
      </c>
      <c r="C20" s="66"/>
      <c r="D20" s="156"/>
      <c r="E20" s="157">
        <v>0</v>
      </c>
      <c r="F20" s="158">
        <v>0</v>
      </c>
      <c r="G20" s="156">
        <v>0</v>
      </c>
      <c r="H20" s="159">
        <v>0</v>
      </c>
      <c r="I20" s="60">
        <f>IF(data!A13=0,0,CHOOSE(data!$G$3,data!D39,data!E39,data!F39,data!G39,data!H39,data!I39,data!J39,data!K39,data!L39,data!M39,data!N39,data!O39,data!P39,data!Q39,data!R39,data!S39,data!T39,data!U39,data!V39,data!W39))</f>
        <v>0</v>
      </c>
      <c r="J20" s="159">
        <v>0</v>
      </c>
      <c r="K20" s="158">
        <v>0</v>
      </c>
      <c r="L20" s="158">
        <v>0</v>
      </c>
      <c r="M20" s="158">
        <v>0</v>
      </c>
      <c r="N20" s="64">
        <f>IF(data!$A$3=0,0,IF($H20=0,0,IF(data!$D13=1,0,IF(data!$G$3=data!$B13,70,30))))</f>
        <v>0</v>
      </c>
      <c r="O20" s="159">
        <v>0</v>
      </c>
      <c r="P20" s="158">
        <v>0</v>
      </c>
      <c r="Q20" s="158">
        <v>0</v>
      </c>
      <c r="R20" s="158">
        <v>0</v>
      </c>
      <c r="S20" s="22">
        <f>IF(data!$D13=1,0,IF(data!$G$3=data!$B13,40,0))</f>
        <v>0</v>
      </c>
      <c r="T20" s="23">
        <f>IF(data!$D13=1,0,IF(data!$A13=0,0,(J20/Zadání!$H$18)))</f>
        <v>0</v>
      </c>
      <c r="U20" s="24">
        <f>IF(data!$D13=1,0,IF(data!$A13=0,0,(K20/Zadání!$H$18)))</f>
        <v>0</v>
      </c>
      <c r="V20" s="25">
        <f>IF(data!$D13=1,0,IF(data!A13=0,0,(L20/Zadání!$H$18)))</f>
        <v>0</v>
      </c>
      <c r="W20" s="23">
        <f>IF(data!$D13=1,0,IF(data!$R$13=2,0,IF(data!$A13=0,0,(O20/Zadání!$H$18))))</f>
        <v>0</v>
      </c>
      <c r="X20" s="24">
        <f>IF(data!$D13=1,0,IF(data!A13=0,0,(P20/Zadání!$H$18)))</f>
        <v>0</v>
      </c>
      <c r="Y20" s="25">
        <f>IF(data!$D13=1,0,IF(data!A13=0,0,(Q20/Zadání!$H$18)))</f>
        <v>0</v>
      </c>
      <c r="Z20" s="26">
        <f>IF(data!$D13=1,0,IF(data!A13=0,0,$H20/Zadání!$F$21))</f>
        <v>0</v>
      </c>
      <c r="AA20" s="27">
        <f>IF(data!A13=0,0,$T20*$Z20)</f>
        <v>0</v>
      </c>
      <c r="AB20" s="27">
        <f>IF(data!A13=0,0,$U20*$Z20)</f>
        <v>0</v>
      </c>
      <c r="AC20" s="27">
        <f>IF(data!A13=0,0,$V20*$Z20)</f>
        <v>0</v>
      </c>
      <c r="AD20" s="28">
        <f>IF(data!A13=0,0,$N20*$Z20)</f>
        <v>0</v>
      </c>
      <c r="AE20" s="63">
        <f>IF(data!$D13=1,0,IF(data!A13=0,0,($I20/Zadání!$F$21)))</f>
        <v>0</v>
      </c>
      <c r="AF20" s="27">
        <f>IF(data!A13=0,0,$W20*$AE20)</f>
        <v>0</v>
      </c>
      <c r="AG20" s="27">
        <f>IF(data!A13=0,0,$X20*$AE20)</f>
        <v>0</v>
      </c>
      <c r="AH20" s="27">
        <f>IF(data!A13=0,0,$Y20*$AE20)</f>
        <v>0</v>
      </c>
      <c r="AI20" s="28">
        <f>IF(data!A13=0,0,$S20*$AE20)</f>
        <v>0</v>
      </c>
      <c r="AJ20" s="36">
        <f>IF(data!A13=0,0,$AA20+AF20)</f>
        <v>0</v>
      </c>
      <c r="AK20" s="37">
        <f>IF(data!A13=0,0,AB20+AG20)</f>
        <v>0</v>
      </c>
      <c r="AL20" s="37">
        <f>IF(data!A13=0,0,AC20+AH20)</f>
        <v>0</v>
      </c>
      <c r="AM20" s="38">
        <f>IF(data!A13=0,0,AD20+AI20)</f>
        <v>0</v>
      </c>
      <c r="AN20" s="39">
        <f>IF(data!A13=0,0,$AJ20*data!$M$3)</f>
        <v>0</v>
      </c>
      <c r="AO20" s="40">
        <f>IF(data!A13=0,0,$AK20*data!$M$4)</f>
        <v>0</v>
      </c>
      <c r="AP20" s="40">
        <f>IF(data!A13=0,0,IF(AL20=0,0,VLOOKUP($M20,data!$O$4:$P$6,2)*(AL20)))</f>
        <v>0</v>
      </c>
      <c r="AQ20" s="40">
        <f>IF(data!A13=0,0,$AM20*data!$M$5)</f>
        <v>0</v>
      </c>
      <c r="AR20" s="41">
        <f>IF(data!A13=0,0,$AN20+$AO20+$AP20+$AQ20)</f>
        <v>0</v>
      </c>
      <c r="AS20" s="54">
        <f>IF($H20=0,0,IF(data!$D13=1,($AT20*$H20),IF(data!$I$6=1,IF(data!$A13=0,0,($AR20/((data!$M$7-data!$M$11)*10^-6))),IF(data!A13=0,0,($AR20/((data!$M$8-data!$M$11)*10^-6))))))</f>
        <v>0</v>
      </c>
      <c r="AT20" s="51">
        <f>IF(data!$A13=0,0,IF(data!$D13=1,IF(H20=0,0,((data!$C61*$D20)/(((data!$M$7-data!$M$11)*10^-6)*$H20))*3600),IF($H20=0,0,$AS20/$H20)))</f>
        <v>0</v>
      </c>
      <c r="AU20" s="55">
        <f>IF(data!A13=0,0,IF(E20=0,0,$AS20/($E20*$F20*$G20)))</f>
        <v>0</v>
      </c>
      <c r="AV20" s="56">
        <f>IF(data!A13=0,0,IF($AU20&gt;0.5,$AS20,0.5*($E20*$F20*$G20)))</f>
        <v>0</v>
      </c>
      <c r="AW20" s="35"/>
      <c r="AX20" s="35"/>
      <c r="AY20" s="35"/>
      <c r="AZ20" s="35"/>
      <c r="BA20" s="35"/>
      <c r="BB20" s="35"/>
      <c r="BC20" s="35"/>
      <c r="BD20" s="35"/>
    </row>
    <row r="21" spans="2:56" ht="15" customHeight="1">
      <c r="B21" s="4" t="s">
        <v>11</v>
      </c>
      <c r="C21" s="66"/>
      <c r="D21" s="156"/>
      <c r="E21" s="157">
        <v>0</v>
      </c>
      <c r="F21" s="158">
        <v>0</v>
      </c>
      <c r="G21" s="156">
        <v>0</v>
      </c>
      <c r="H21" s="159">
        <v>0</v>
      </c>
      <c r="I21" s="60">
        <f>IF(data!A14=0,0,CHOOSE(data!$G$3,data!D40,data!E40,data!F40,data!G40,data!H40,data!I40,data!J40,data!K40,data!L40,data!M40,data!N40,data!O40,data!P40,data!Q40,data!R40,data!S40,data!T40,data!U40,data!V40,data!W40))</f>
        <v>0</v>
      </c>
      <c r="J21" s="159">
        <v>0</v>
      </c>
      <c r="K21" s="158">
        <v>0</v>
      </c>
      <c r="L21" s="158">
        <v>0</v>
      </c>
      <c r="M21" s="158">
        <v>0</v>
      </c>
      <c r="N21" s="64">
        <f>IF(data!$A$3=0,0,IF($H21=0,0,IF(data!$D14=1,0,IF(data!$G$3=data!$B14,70,30))))</f>
        <v>0</v>
      </c>
      <c r="O21" s="159">
        <v>0</v>
      </c>
      <c r="P21" s="158">
        <v>0</v>
      </c>
      <c r="Q21" s="158">
        <v>0</v>
      </c>
      <c r="R21" s="158">
        <v>0</v>
      </c>
      <c r="S21" s="22">
        <f>IF(data!$D14=1,0,IF(data!$G$3=data!$B14,40,0))</f>
        <v>0</v>
      </c>
      <c r="T21" s="23">
        <f>IF(data!$D14=1,0,IF(data!$A14=0,0,(J21/Zadání!$H$18)))</f>
        <v>0</v>
      </c>
      <c r="U21" s="24">
        <f>IF(data!$D14=1,0,IF(data!$A14=0,0,(K21/Zadání!$H$18)))</f>
        <v>0</v>
      </c>
      <c r="V21" s="25">
        <f>IF(data!$D14=1,0,IF(data!A14=0,0,(L21/Zadání!$H$18)))</f>
        <v>0</v>
      </c>
      <c r="W21" s="23">
        <f>IF(data!$D14=1,0,IF(data!$R$13=2,0,IF(data!$A14=0,0,(O21/Zadání!$H$18))))</f>
        <v>0</v>
      </c>
      <c r="X21" s="24">
        <f>IF(data!$D14=1,0,IF(data!A14=0,0,(P21/Zadání!$H$18)))</f>
        <v>0</v>
      </c>
      <c r="Y21" s="25">
        <f>IF(data!$D14=1,0,IF(data!A14=0,0,(Q21/Zadání!$H$18)))</f>
        <v>0</v>
      </c>
      <c r="Z21" s="26">
        <f>IF(data!$D14=1,0,IF(data!A14=0,0,$H21/Zadání!$F$21))</f>
        <v>0</v>
      </c>
      <c r="AA21" s="27">
        <f>IF(data!A14=0,0,$T21*$Z21)</f>
        <v>0</v>
      </c>
      <c r="AB21" s="27">
        <f>IF(data!A14=0,0,$U21*$Z21)</f>
        <v>0</v>
      </c>
      <c r="AC21" s="27">
        <f>IF(data!A14=0,0,$V21*$Z21)</f>
        <v>0</v>
      </c>
      <c r="AD21" s="28">
        <f>IF(data!A14=0,0,$N21*$Z21)</f>
        <v>0</v>
      </c>
      <c r="AE21" s="63">
        <f>IF(data!$D14=1,0,IF(data!A14=0,0,($I21/Zadání!$F$21)))</f>
        <v>0</v>
      </c>
      <c r="AF21" s="27">
        <f>IF(data!A14=0,0,$W21*$AE21)</f>
        <v>0</v>
      </c>
      <c r="AG21" s="27">
        <f>IF(data!A14=0,0,$X21*$AE21)</f>
        <v>0</v>
      </c>
      <c r="AH21" s="27">
        <f>IF(data!A14=0,0,$Y21*$AE21)</f>
        <v>0</v>
      </c>
      <c r="AI21" s="28">
        <f>IF(data!A14=0,0,$S21*$AE21)</f>
        <v>0</v>
      </c>
      <c r="AJ21" s="36">
        <f>IF(data!A14=0,0,$AA21+AF21)</f>
        <v>0</v>
      </c>
      <c r="AK21" s="37">
        <f>IF(data!A14=0,0,AB21+AG21)</f>
        <v>0</v>
      </c>
      <c r="AL21" s="37">
        <f>IF(data!A14=0,0,AC21+AH21)</f>
        <v>0</v>
      </c>
      <c r="AM21" s="38">
        <f>IF(data!A14=0,0,AD21+AI21)</f>
        <v>0</v>
      </c>
      <c r="AN21" s="39">
        <f>IF(data!A14=0,0,$AJ21*data!$M$3)</f>
        <v>0</v>
      </c>
      <c r="AO21" s="40">
        <f>IF(data!A14=0,0,$AK21*data!$M$4)</f>
        <v>0</v>
      </c>
      <c r="AP21" s="40">
        <f>IF(data!A14=0,0,IF(AL21=0,0,VLOOKUP($M21,data!$O$4:$P$6,2)*(AL21)))</f>
        <v>0</v>
      </c>
      <c r="AQ21" s="40">
        <f>IF(data!A14=0,0,$AM21*data!$M$5)</f>
        <v>0</v>
      </c>
      <c r="AR21" s="41">
        <f>IF(data!A14=0,0,$AN21+$AO21+$AP21+$AQ21)</f>
        <v>0</v>
      </c>
      <c r="AS21" s="54">
        <f>IF($H21=0,0,IF(data!$D14=1,($AT21*$H21),IF(data!$I$6=1,IF(data!$A14=0,0,($AR21/((data!$M$7-data!$M$11)*10^-6))),IF(data!A14=0,0,($AR21/((data!$M$8-data!$M$11)*10^-6))))))</f>
        <v>0</v>
      </c>
      <c r="AT21" s="51">
        <f>IF(data!$A14=0,0,IF(data!$D14=1,IF(H21=0,0,((data!$C62*$D21)/(((data!$M$7-data!$M$11)*10^-6)*$H21))*3600),IF($H21=0,0,$AS21/$H21)))</f>
        <v>0</v>
      </c>
      <c r="AU21" s="55">
        <f>IF(data!A14=0,0,IF(E21=0,0,$AS21/($E21*$F21*$G21)))</f>
        <v>0</v>
      </c>
      <c r="AV21" s="56">
        <f>IF(data!A14=0,0,IF($AU21&gt;0.5,$AS21,0.5*($E21*$F21*$G21)))</f>
        <v>0</v>
      </c>
      <c r="AW21" s="35"/>
      <c r="AX21" s="35"/>
      <c r="AY21" s="35"/>
      <c r="AZ21" s="35"/>
      <c r="BA21" s="35"/>
      <c r="BB21" s="35"/>
      <c r="BC21" s="35"/>
      <c r="BD21" s="35"/>
    </row>
    <row r="22" spans="2:56" ht="15" customHeight="1">
      <c r="B22" s="4" t="s">
        <v>12</v>
      </c>
      <c r="C22" s="66"/>
      <c r="D22" s="156"/>
      <c r="E22" s="157">
        <v>0</v>
      </c>
      <c r="F22" s="158">
        <v>0</v>
      </c>
      <c r="G22" s="156">
        <v>0</v>
      </c>
      <c r="H22" s="159">
        <v>0</v>
      </c>
      <c r="I22" s="60">
        <f>IF(data!A15=0,0,CHOOSE(data!$G$3,data!D41,data!E41,data!F41,data!G41,data!H41,data!I41,data!J41,data!K41,data!L41,data!M41,data!N41,data!O41,data!P41,data!Q41,data!R41,data!S41,data!T41,data!U41,data!V41,data!W41))</f>
        <v>0</v>
      </c>
      <c r="J22" s="159">
        <v>0</v>
      </c>
      <c r="K22" s="158">
        <v>0</v>
      </c>
      <c r="L22" s="158">
        <v>0</v>
      </c>
      <c r="M22" s="158">
        <v>0</v>
      </c>
      <c r="N22" s="64">
        <f>IF(data!$A$3=0,0,IF($H22=0,0,IF(data!$D15=1,0,IF(data!$G$3=data!$B15,70,30))))</f>
        <v>0</v>
      </c>
      <c r="O22" s="159">
        <v>0</v>
      </c>
      <c r="P22" s="158">
        <v>0</v>
      </c>
      <c r="Q22" s="158">
        <v>0</v>
      </c>
      <c r="R22" s="158">
        <v>0</v>
      </c>
      <c r="S22" s="22">
        <f>IF(data!$D15=1,0,IF(data!$G$3=data!$B15,40,0))</f>
        <v>0</v>
      </c>
      <c r="T22" s="23">
        <f>IF(data!$D15=1,0,IF(data!$A15=0,0,(J22/Zadání!$H$18)))</f>
        <v>0</v>
      </c>
      <c r="U22" s="24">
        <f>IF(data!$D15=1,0,IF(data!$A15=0,0,(K22/Zadání!$H$18)))</f>
        <v>0</v>
      </c>
      <c r="V22" s="25">
        <f>IF(data!$D15=1,0,IF(data!A15=0,0,(L22/Zadání!$H$18)))</f>
        <v>0</v>
      </c>
      <c r="W22" s="23">
        <f>IF(data!$D15=1,0,IF(data!$R$13=2,0,IF(data!$A15=0,0,(O22/Zadání!$H$18))))</f>
        <v>0</v>
      </c>
      <c r="X22" s="24">
        <f>IF(data!$D15=1,0,IF(data!A15=0,0,(P22/Zadání!$H$18)))</f>
        <v>0</v>
      </c>
      <c r="Y22" s="25">
        <f>IF(data!$D15=1,0,IF(data!A15=0,0,(Q22/Zadání!$H$18)))</f>
        <v>0</v>
      </c>
      <c r="Z22" s="26">
        <f>IF(data!$D15=1,0,IF(data!A15=0,0,$H22/Zadání!$F$21))</f>
        <v>0</v>
      </c>
      <c r="AA22" s="27">
        <f>IF(data!A15=0,0,$T22*$Z22)</f>
        <v>0</v>
      </c>
      <c r="AB22" s="27">
        <f>IF(data!A15=0,0,$U22*$Z22)</f>
        <v>0</v>
      </c>
      <c r="AC22" s="27">
        <f>IF(data!A15=0,0,$V22*$Z22)</f>
        <v>0</v>
      </c>
      <c r="AD22" s="28">
        <f>IF(data!A15=0,0,$N22*$Z22)</f>
        <v>0</v>
      </c>
      <c r="AE22" s="63">
        <f>IF(data!$D15=1,0,IF(data!A15=0,0,($I22/Zadání!$F$21)))</f>
        <v>0</v>
      </c>
      <c r="AF22" s="27">
        <f>IF(data!A15=0,0,$W22*$AE22)</f>
        <v>0</v>
      </c>
      <c r="AG22" s="27">
        <f>IF(data!A15=0,0,$X22*$AE22)</f>
        <v>0</v>
      </c>
      <c r="AH22" s="27">
        <f>IF(data!A15=0,0,$Y22*$AE22)</f>
        <v>0</v>
      </c>
      <c r="AI22" s="28">
        <f>IF(data!A15=0,0,$S22*$AE22)</f>
        <v>0</v>
      </c>
      <c r="AJ22" s="36">
        <f>IF(data!A15=0,0,$AA22+AF22)</f>
        <v>0</v>
      </c>
      <c r="AK22" s="37">
        <f>IF(data!A15=0,0,AB22+AG22)</f>
        <v>0</v>
      </c>
      <c r="AL22" s="37">
        <f>IF(data!A15=0,0,AC22+AH22)</f>
        <v>0</v>
      </c>
      <c r="AM22" s="38">
        <f>IF(data!A15=0,0,AD22+AI22)</f>
        <v>0</v>
      </c>
      <c r="AN22" s="39">
        <f>IF(data!A15=0,0,$AJ22*data!$M$3)</f>
        <v>0</v>
      </c>
      <c r="AO22" s="40">
        <f>IF(data!A15=0,0,$AK22*data!$M$4)</f>
        <v>0</v>
      </c>
      <c r="AP22" s="40">
        <f>IF(data!A15=0,0,IF(AL22=0,0,VLOOKUP($M22,data!$O$4:$P$6,2)*(AL22)))</f>
        <v>0</v>
      </c>
      <c r="AQ22" s="40">
        <f>IF(data!A15=0,0,$AM22*data!$M$5)</f>
        <v>0</v>
      </c>
      <c r="AR22" s="41">
        <f>IF(data!A15=0,0,$AN22+$AO22+$AP22+$AQ22)</f>
        <v>0</v>
      </c>
      <c r="AS22" s="54">
        <f>IF($H22=0,0,IF(data!$D15=1,($AT22*$H22),IF(data!$I$6=1,IF(data!$A15=0,0,($AR22/((data!$M$7-data!$M$11)*10^-6))),IF(data!A15=0,0,($AR22/((data!$M$8-data!$M$11)*10^-6))))))</f>
        <v>0</v>
      </c>
      <c r="AT22" s="51">
        <f>IF(data!$A15=0,0,IF(data!$D15=1,IF(H22=0,0,((data!$C63*$D22)/(((data!$M$7-data!$M$11)*10^-6)*$H22))*3600),IF($H22=0,0,$AS22/$H22)))</f>
        <v>0</v>
      </c>
      <c r="AU22" s="55">
        <f>IF(data!A15=0,0,IF(E22=0,0,$AS22/($E22*$F22*$G22)))</f>
        <v>0</v>
      </c>
      <c r="AV22" s="56">
        <f>IF(data!A15=0,0,IF($AU22&gt;0.5,$AS22,0.5*($E22*$F22*$G22)))</f>
        <v>0</v>
      </c>
      <c r="AW22" s="35"/>
      <c r="AX22" s="35"/>
      <c r="AY22" s="35"/>
      <c r="AZ22" s="35"/>
      <c r="BA22" s="35"/>
      <c r="BB22" s="35"/>
      <c r="BC22" s="35"/>
      <c r="BD22" s="35"/>
    </row>
    <row r="23" spans="2:56" ht="15" customHeight="1">
      <c r="B23" s="4" t="s">
        <v>13</v>
      </c>
      <c r="C23" s="66"/>
      <c r="D23" s="156"/>
      <c r="E23" s="157">
        <v>0</v>
      </c>
      <c r="F23" s="158">
        <v>0</v>
      </c>
      <c r="G23" s="156">
        <v>0</v>
      </c>
      <c r="H23" s="159">
        <v>0</v>
      </c>
      <c r="I23" s="60">
        <f>IF(data!A16=0,0,CHOOSE(data!$G$3,data!D42,data!E42,data!F42,data!G42,data!H42,data!I42,data!J42,data!K42,data!L42,data!M42,data!N42,data!O42,data!P42,data!Q42,data!R42,data!S42,data!T42,data!U42,data!V42,data!W42))</f>
        <v>0</v>
      </c>
      <c r="J23" s="159">
        <v>0</v>
      </c>
      <c r="K23" s="158">
        <v>0</v>
      </c>
      <c r="L23" s="158">
        <v>0</v>
      </c>
      <c r="M23" s="158">
        <v>0</v>
      </c>
      <c r="N23" s="64">
        <f>IF(data!$A$3=0,0,IF($H23=0,0,IF(data!$D16=1,0,IF(data!$G$3=data!$B16,70,30))))</f>
        <v>0</v>
      </c>
      <c r="O23" s="159">
        <v>0</v>
      </c>
      <c r="P23" s="158">
        <v>0</v>
      </c>
      <c r="Q23" s="158">
        <v>0</v>
      </c>
      <c r="R23" s="158">
        <v>0</v>
      </c>
      <c r="S23" s="22">
        <f>IF(data!$D16=1,0,IF(data!$G$3=data!$B16,40,0))</f>
        <v>0</v>
      </c>
      <c r="T23" s="23">
        <f>IF(data!$D16=1,0,IF(data!$A16=0,0,(J23/Zadání!$H$18)))</f>
        <v>0</v>
      </c>
      <c r="U23" s="24">
        <f>IF(data!$D16=1,0,IF(data!$A16=0,0,(K23/Zadání!$H$18)))</f>
        <v>0</v>
      </c>
      <c r="V23" s="25">
        <f>IF(data!$D16=1,0,IF(data!A16=0,0,(L23/Zadání!$H$18)))</f>
        <v>0</v>
      </c>
      <c r="W23" s="23">
        <f>IF(data!$D16=1,0,IF(data!$R$13=2,0,IF(data!$A16=0,0,(O23/Zadání!$H$18))))</f>
        <v>0</v>
      </c>
      <c r="X23" s="24">
        <f>IF(data!$D16=1,0,IF(data!A16=0,0,(P23/Zadání!$H$18)))</f>
        <v>0</v>
      </c>
      <c r="Y23" s="25">
        <f>IF(data!$D16=1,0,IF(data!A16=0,0,(Q23/Zadání!$H$18)))</f>
        <v>0</v>
      </c>
      <c r="Z23" s="26">
        <f>IF(data!$D16=1,0,IF(data!A16=0,0,$H23/Zadání!$F$21))</f>
        <v>0</v>
      </c>
      <c r="AA23" s="27">
        <f>IF(data!A16=0,0,$T23*$Z23)</f>
        <v>0</v>
      </c>
      <c r="AB23" s="27">
        <f>IF(data!A16=0,0,$U23*$Z23)</f>
        <v>0</v>
      </c>
      <c r="AC23" s="27">
        <f>IF(data!A16=0,0,$V23*$Z23)</f>
        <v>0</v>
      </c>
      <c r="AD23" s="28">
        <f>IF(data!A16=0,0,$N23*$Z23)</f>
        <v>0</v>
      </c>
      <c r="AE23" s="63">
        <f>IF(data!$D16=1,0,IF(data!A16=0,0,($I23/Zadání!$F$21)))</f>
        <v>0</v>
      </c>
      <c r="AF23" s="27">
        <f>IF(data!A16=0,0,$W23*$AE23)</f>
        <v>0</v>
      </c>
      <c r="AG23" s="27">
        <f>IF(data!A16=0,0,$X23*$AE23)</f>
        <v>0</v>
      </c>
      <c r="AH23" s="27">
        <f>IF(data!A16=0,0,$Y23*$AE23)</f>
        <v>0</v>
      </c>
      <c r="AI23" s="28">
        <f>IF(data!A16=0,0,$S23*$AE23)</f>
        <v>0</v>
      </c>
      <c r="AJ23" s="36">
        <f>IF(data!A16=0,0,$AA23+AF23)</f>
        <v>0</v>
      </c>
      <c r="AK23" s="37">
        <f>IF(data!A16=0,0,AB23+AG23)</f>
        <v>0</v>
      </c>
      <c r="AL23" s="37">
        <f>IF(data!A16=0,0,AC23+AH23)</f>
        <v>0</v>
      </c>
      <c r="AM23" s="38">
        <f>IF(data!A16=0,0,AD23+AI23)</f>
        <v>0</v>
      </c>
      <c r="AN23" s="39">
        <f>IF(data!A16=0,0,$AJ23*data!$M$3)</f>
        <v>0</v>
      </c>
      <c r="AO23" s="40">
        <f>IF(data!A16=0,0,$AK23*data!$M$4)</f>
        <v>0</v>
      </c>
      <c r="AP23" s="40">
        <f>IF(data!A16=0,0,IF(AL23=0,0,VLOOKUP($M23,data!$O$4:$P$6,2)*(AL23)))</f>
        <v>0</v>
      </c>
      <c r="AQ23" s="40">
        <f>IF(data!A16=0,0,$AM23*data!$M$5)</f>
        <v>0</v>
      </c>
      <c r="AR23" s="41">
        <f>IF(data!A16=0,0,$AN23+$AO23+$AP23+$AQ23)</f>
        <v>0</v>
      </c>
      <c r="AS23" s="54">
        <f>IF($H23=0,0,IF(data!$D16=1,($AT23*$H23),IF(data!$I$6=1,IF(data!$A16=0,0,($AR23/((data!$M$7-data!$M$11)*10^-6))),IF(data!A16=0,0,($AR23/((data!$M$8-data!$M$11)*10^-6))))))</f>
        <v>0</v>
      </c>
      <c r="AT23" s="51">
        <f>IF(data!$A16=0,0,IF(data!$D16=1,IF(H23=0,0,((data!$C64*$D23)/(((data!$M$7-data!$M$11)*10^-6)*$H23))*3600),IF($H23=0,0,$AS23/$H23)))</f>
        <v>0</v>
      </c>
      <c r="AU23" s="55">
        <f>IF(data!A16=0,0,IF(E23=0,0,$AS23/($E23*$F23*$G23)))</f>
        <v>0</v>
      </c>
      <c r="AV23" s="56">
        <f>IF(data!A16=0,0,IF($AU23&gt;0.5,$AS23,0.5*($E23*$F23*$G23)))</f>
        <v>0</v>
      </c>
      <c r="AW23" s="35"/>
      <c r="AX23" s="35"/>
      <c r="AY23" s="35"/>
      <c r="AZ23" s="35"/>
      <c r="BA23" s="35"/>
      <c r="BB23" s="35"/>
      <c r="BC23" s="35"/>
      <c r="BD23" s="35"/>
    </row>
    <row r="24" spans="2:56" ht="15" customHeight="1">
      <c r="B24" s="4" t="s">
        <v>14</v>
      </c>
      <c r="C24" s="66"/>
      <c r="D24" s="156"/>
      <c r="E24" s="157">
        <v>0</v>
      </c>
      <c r="F24" s="158">
        <v>0</v>
      </c>
      <c r="G24" s="156">
        <v>0</v>
      </c>
      <c r="H24" s="159">
        <v>0</v>
      </c>
      <c r="I24" s="60">
        <f>IF(data!A17=0,0,CHOOSE(data!$G$3,data!D43,data!E43,data!F43,data!G43,data!H43,data!I43,data!J43,data!K43,data!L43,data!M43,data!N43,data!O43,data!P43,data!Q43,data!R43,data!S43,data!T43,data!U43,data!V43,data!W43))</f>
        <v>0</v>
      </c>
      <c r="J24" s="159">
        <v>0</v>
      </c>
      <c r="K24" s="158">
        <v>0</v>
      </c>
      <c r="L24" s="158">
        <v>0</v>
      </c>
      <c r="M24" s="158">
        <v>0</v>
      </c>
      <c r="N24" s="64">
        <f>IF(data!$A$3=0,0,IF($H24=0,0,IF(data!$D17=1,0,IF(data!$G$3=data!$B17,70,30))))</f>
        <v>0</v>
      </c>
      <c r="O24" s="159">
        <v>0</v>
      </c>
      <c r="P24" s="158">
        <v>0</v>
      </c>
      <c r="Q24" s="158">
        <v>0</v>
      </c>
      <c r="R24" s="158">
        <v>0</v>
      </c>
      <c r="S24" s="22">
        <f>IF(data!$D17=1,0,IF(data!$G$3=data!$B17,40,0))</f>
        <v>0</v>
      </c>
      <c r="T24" s="23">
        <f>IF(data!$D17=1,0,IF(data!$A17=0,0,(J24/Zadání!$H$18)))</f>
        <v>0</v>
      </c>
      <c r="U24" s="24">
        <f>IF(data!$D17=1,0,IF(data!$A17=0,0,(K24/Zadání!$H$18)))</f>
        <v>0</v>
      </c>
      <c r="V24" s="25">
        <f>IF(data!$D17=1,0,IF(data!A17=0,0,(L24/Zadání!$H$18)))</f>
        <v>0</v>
      </c>
      <c r="W24" s="23">
        <f>IF(data!$D17=1,0,IF(data!$R$13=2,0,IF(data!$A17=0,0,(O24/Zadání!$H$18))))</f>
        <v>0</v>
      </c>
      <c r="X24" s="24">
        <f>IF(data!$D17=1,0,IF(data!A17=0,0,(P24/Zadání!$H$18)))</f>
        <v>0</v>
      </c>
      <c r="Y24" s="25">
        <f>IF(data!$D17=1,0,IF(data!A17=0,0,(Q24/Zadání!$H$18)))</f>
        <v>0</v>
      </c>
      <c r="Z24" s="26">
        <f>IF(data!$D17=1,0,IF(data!A17=0,0,$H24/Zadání!$F$21))</f>
        <v>0</v>
      </c>
      <c r="AA24" s="27">
        <f>IF(data!A17=0,0,$T24*$Z24)</f>
        <v>0</v>
      </c>
      <c r="AB24" s="27">
        <f>IF(data!A17=0,0,$U24*$Z24)</f>
        <v>0</v>
      </c>
      <c r="AC24" s="27">
        <f>IF(data!A17=0,0,$V24*$Z24)</f>
        <v>0</v>
      </c>
      <c r="AD24" s="28">
        <f>IF(data!A17=0,0,$N24*$Z24)</f>
        <v>0</v>
      </c>
      <c r="AE24" s="63">
        <f>IF(data!$D17=1,0,IF(data!A17=0,0,($I24/Zadání!$F$21)))</f>
        <v>0</v>
      </c>
      <c r="AF24" s="27">
        <f>IF(data!A17=0,0,$W24*$AE24)</f>
        <v>0</v>
      </c>
      <c r="AG24" s="27">
        <f>IF(data!A17=0,0,$X24*$AE24)</f>
        <v>0</v>
      </c>
      <c r="AH24" s="27">
        <f>IF(data!A17=0,0,$Y24*$AE24)</f>
        <v>0</v>
      </c>
      <c r="AI24" s="28">
        <f>IF(data!A17=0,0,$S24*$AE24)</f>
        <v>0</v>
      </c>
      <c r="AJ24" s="36">
        <f>IF(data!A17=0,0,$AA24+AF24)</f>
        <v>0</v>
      </c>
      <c r="AK24" s="37">
        <f>IF(data!A17=0,0,AB24+AG24)</f>
        <v>0</v>
      </c>
      <c r="AL24" s="37">
        <f>IF(data!A17=0,0,AC24+AH24)</f>
        <v>0</v>
      </c>
      <c r="AM24" s="38">
        <f>IF(data!A17=0,0,AD24+AI24)</f>
        <v>0</v>
      </c>
      <c r="AN24" s="39">
        <f>IF(data!A17=0,0,$AJ24*data!$M$3)</f>
        <v>0</v>
      </c>
      <c r="AO24" s="40">
        <f>IF(data!A17=0,0,$AK24*data!$M$4)</f>
        <v>0</v>
      </c>
      <c r="AP24" s="40">
        <f>IF(data!A17=0,0,IF(AL24=0,0,VLOOKUP($M24,data!$O$4:$P$6,2)*(AL24)))</f>
        <v>0</v>
      </c>
      <c r="AQ24" s="40">
        <f>IF(data!A17=0,0,$AM24*data!$M$5)</f>
        <v>0</v>
      </c>
      <c r="AR24" s="41">
        <f>IF(data!A17=0,0,$AN24+$AO24+$AP24+$AQ24)</f>
        <v>0</v>
      </c>
      <c r="AS24" s="54">
        <f>IF($H24=0,0,IF(data!$D17=1,($AT24*$H24),IF(data!$I$6=1,IF(data!$A17=0,0,($AR24/((data!$M$7-data!$M$11)*10^-6))),IF(data!A17=0,0,($AR24/((data!$M$8-data!$M$11)*10^-6))))))</f>
        <v>0</v>
      </c>
      <c r="AT24" s="51">
        <f>IF(data!$A17=0,0,IF(data!$D17=1,IF(H24=0,0,((data!$C65*$D24)/(((data!$M$7-data!$M$11)*10^-6)*$H24))*3600),IF($H24=0,0,$AS24/$H24)))</f>
        <v>0</v>
      </c>
      <c r="AU24" s="55">
        <f>IF(data!A17=0,0,IF(E24=0,0,$AS24/($E24*$F24*$G24)))</f>
        <v>0</v>
      </c>
      <c r="AV24" s="56">
        <f>IF(data!A17=0,0,IF($AU24&gt;0.5,$AS24,0.5*($E24*$F24*$G24)))</f>
        <v>0</v>
      </c>
      <c r="AW24" s="35"/>
      <c r="AX24" s="35"/>
      <c r="AY24" s="35"/>
      <c r="AZ24" s="35"/>
      <c r="BA24" s="35"/>
      <c r="BB24" s="35"/>
      <c r="BC24" s="35"/>
      <c r="BD24" s="35"/>
    </row>
    <row r="25" spans="2:56" ht="15" customHeight="1">
      <c r="B25" s="4" t="s">
        <v>15</v>
      </c>
      <c r="C25" s="66"/>
      <c r="D25" s="156"/>
      <c r="E25" s="157">
        <v>0</v>
      </c>
      <c r="F25" s="158">
        <v>0</v>
      </c>
      <c r="G25" s="156">
        <v>0</v>
      </c>
      <c r="H25" s="159">
        <v>0</v>
      </c>
      <c r="I25" s="60">
        <f>IF(data!A18=0,0,CHOOSE(data!$G$3,data!D44,data!E44,data!F44,data!G44,data!H44,data!I44,data!J44,data!K44,data!L44,data!M44,data!N44,data!O44,data!P44,data!Q44,data!R44,data!S44,data!T44,data!U44,data!V44,data!W44))</f>
        <v>0</v>
      </c>
      <c r="J25" s="159">
        <v>0</v>
      </c>
      <c r="K25" s="158">
        <v>0</v>
      </c>
      <c r="L25" s="158">
        <v>0</v>
      </c>
      <c r="M25" s="158">
        <v>0</v>
      </c>
      <c r="N25" s="64">
        <f>IF(data!$A$3=0,0,IF($H25=0,0,IF(data!$D18=1,0,IF(data!$G$3=data!$B18,70,30))))</f>
        <v>0</v>
      </c>
      <c r="O25" s="159">
        <v>0</v>
      </c>
      <c r="P25" s="158">
        <v>0</v>
      </c>
      <c r="Q25" s="158">
        <v>0</v>
      </c>
      <c r="R25" s="158">
        <v>0</v>
      </c>
      <c r="S25" s="22">
        <f>IF(data!$D18=1,0,IF(data!$G$3=data!$B18,40,0))</f>
        <v>0</v>
      </c>
      <c r="T25" s="23">
        <f>IF(data!$D18=1,0,IF(data!$A18=0,0,(J25/Zadání!$H$18)))</f>
        <v>0</v>
      </c>
      <c r="U25" s="24">
        <f>IF(data!$D18=1,0,IF(data!$A18=0,0,(K25/Zadání!$H$18)))</f>
        <v>0</v>
      </c>
      <c r="V25" s="25">
        <f>IF(data!$D18=1,0,IF(data!A18=0,0,(L25/Zadání!$H$18)))</f>
        <v>0</v>
      </c>
      <c r="W25" s="23">
        <f>IF(data!$D18=1,0,IF(data!$R$13=2,0,IF(data!$A18=0,0,(O25/Zadání!$H$18))))</f>
        <v>0</v>
      </c>
      <c r="X25" s="24">
        <f>IF(data!$D18=1,0,IF(data!A18=0,0,(P25/Zadání!$H$18)))</f>
        <v>0</v>
      </c>
      <c r="Y25" s="25">
        <f>IF(data!$D18=1,0,IF(data!A18=0,0,(Q25/Zadání!$H$18)))</f>
        <v>0</v>
      </c>
      <c r="Z25" s="26">
        <f>IF(data!$D18=1,0,IF(data!A18=0,0,$H25/Zadání!$F$21))</f>
        <v>0</v>
      </c>
      <c r="AA25" s="27">
        <f>IF(data!A18=0,0,$T25*$Z25)</f>
        <v>0</v>
      </c>
      <c r="AB25" s="27">
        <f>IF(data!A18=0,0,$U25*$Z25)</f>
        <v>0</v>
      </c>
      <c r="AC25" s="27">
        <f>IF(data!A18=0,0,$V25*$Z25)</f>
        <v>0</v>
      </c>
      <c r="AD25" s="28">
        <f>IF(data!A18=0,0,$N25*$Z25)</f>
        <v>0</v>
      </c>
      <c r="AE25" s="63">
        <f>IF(data!$D18=1,0,IF(data!A18=0,0,($I25/Zadání!$F$21)))</f>
        <v>0</v>
      </c>
      <c r="AF25" s="27">
        <f>IF(data!A18=0,0,$W25*$AE25)</f>
        <v>0</v>
      </c>
      <c r="AG25" s="27">
        <f>IF(data!A18=0,0,$X25*$AE25)</f>
        <v>0</v>
      </c>
      <c r="AH25" s="27">
        <f>IF(data!A18=0,0,$Y25*$AE25)</f>
        <v>0</v>
      </c>
      <c r="AI25" s="28">
        <f>IF(data!A18=0,0,$S25*$AE25)</f>
        <v>0</v>
      </c>
      <c r="AJ25" s="36">
        <f>IF(data!A18=0,0,$AA25+AF25)</f>
        <v>0</v>
      </c>
      <c r="AK25" s="37">
        <f>IF(data!A18=0,0,AB25+AG25)</f>
        <v>0</v>
      </c>
      <c r="AL25" s="37">
        <f>IF(data!A18=0,0,AC25+AH25)</f>
        <v>0</v>
      </c>
      <c r="AM25" s="38">
        <f>IF(data!A18=0,0,AD25+AI25)</f>
        <v>0</v>
      </c>
      <c r="AN25" s="39">
        <f>IF(data!A18=0,0,$AJ25*data!$M$3)</f>
        <v>0</v>
      </c>
      <c r="AO25" s="40">
        <f>IF(data!A18=0,0,$AK25*data!$M$4)</f>
        <v>0</v>
      </c>
      <c r="AP25" s="40">
        <f>IF(data!A18=0,0,IF(AL25=0,0,VLOOKUP($M25,data!$O$4:$P$6,2)*(AL25)))</f>
        <v>0</v>
      </c>
      <c r="AQ25" s="40">
        <f>IF(data!A18=0,0,$AM25*data!$M$5)</f>
        <v>0</v>
      </c>
      <c r="AR25" s="41">
        <f>IF(data!A18=0,0,$AN25+$AO25+$AP25+$AQ25)</f>
        <v>0</v>
      </c>
      <c r="AS25" s="54">
        <f>IF($H25=0,0,IF(data!$D18=1,($AT25*$H25),IF(data!$I$6=1,IF(data!$A18=0,0,($AR25/((data!$M$7-data!$M$11)*10^-6))),IF(data!A18=0,0,($AR25/((data!$M$8-data!$M$11)*10^-6))))))</f>
        <v>0</v>
      </c>
      <c r="AT25" s="51">
        <f>IF(data!$A18=0,0,IF(data!$D18=1,IF(H25=0,0,((data!$C66*$D25)/(((data!$M$7-data!$M$11)*10^-6)*$H25))*3600),IF($H25=0,0,$AS25/$H25)))</f>
        <v>0</v>
      </c>
      <c r="AU25" s="55">
        <f>IF(data!A18=0,0,IF(E25=0,0,$AS25/($E25*$F25*$G25)))</f>
        <v>0</v>
      </c>
      <c r="AV25" s="56">
        <f>IF(data!A18=0,0,IF($AU25&gt;0.5,$AS25,0.5*($E25*$F25*$G25)))</f>
        <v>0</v>
      </c>
      <c r="AW25" s="35"/>
      <c r="AX25" s="35"/>
      <c r="AY25" s="35"/>
      <c r="AZ25" s="35"/>
      <c r="BA25" s="35"/>
      <c r="BB25" s="35"/>
      <c r="BC25" s="35"/>
      <c r="BD25" s="35"/>
    </row>
    <row r="26" spans="2:56" ht="15" customHeight="1">
      <c r="B26" s="4" t="s">
        <v>16</v>
      </c>
      <c r="C26" s="66"/>
      <c r="D26" s="156"/>
      <c r="E26" s="157">
        <v>0</v>
      </c>
      <c r="F26" s="158">
        <v>0</v>
      </c>
      <c r="G26" s="156">
        <v>0</v>
      </c>
      <c r="H26" s="159">
        <v>0</v>
      </c>
      <c r="I26" s="60">
        <f>IF(data!A19=0,0,CHOOSE(data!$G$3,data!D45,data!E45,data!F45,data!G45,data!H45,data!I45,data!J45,data!K45,data!L45,data!M45,data!N45,data!O45,data!P45,data!Q45,data!R45,data!S45,data!T45,data!U45,data!V45,data!W45))</f>
        <v>0</v>
      </c>
      <c r="J26" s="159">
        <v>0</v>
      </c>
      <c r="K26" s="158">
        <v>0</v>
      </c>
      <c r="L26" s="158">
        <v>0</v>
      </c>
      <c r="M26" s="158">
        <v>0</v>
      </c>
      <c r="N26" s="64">
        <f>IF(data!$A$3=0,0,IF($H26=0,0,IF(data!$D19=1,0,IF(data!$G$3=data!$B19,70,30))))</f>
        <v>0</v>
      </c>
      <c r="O26" s="159">
        <v>0</v>
      </c>
      <c r="P26" s="158">
        <v>0</v>
      </c>
      <c r="Q26" s="158">
        <v>0</v>
      </c>
      <c r="R26" s="158">
        <v>0</v>
      </c>
      <c r="S26" s="22">
        <f>IF(data!$D19=1,0,IF(data!$G$3=data!$B19,40,0))</f>
        <v>0</v>
      </c>
      <c r="T26" s="23">
        <f>IF(data!$D19=1,0,IF(data!$A19=0,0,(J26/Zadání!$H$18)))</f>
        <v>0</v>
      </c>
      <c r="U26" s="24">
        <f>IF(data!$D19=1,0,IF(data!$A19=0,0,(K26/Zadání!$H$18)))</f>
        <v>0</v>
      </c>
      <c r="V26" s="25">
        <f>IF(data!$D19=1,0,IF(data!A19=0,0,(L26/Zadání!$H$18)))</f>
        <v>0</v>
      </c>
      <c r="W26" s="23">
        <f>IF(data!$D19=1,0,IF(data!$R$13=2,0,IF(data!$A19=0,0,(O26/Zadání!$H$18))))</f>
        <v>0</v>
      </c>
      <c r="X26" s="24">
        <f>IF(data!$D19=1,0,IF(data!A19=0,0,(P26/Zadání!$H$18)))</f>
        <v>0</v>
      </c>
      <c r="Y26" s="25">
        <f>IF(data!$D19=1,0,IF(data!A19=0,0,(Q26/Zadání!$H$18)))</f>
        <v>0</v>
      </c>
      <c r="Z26" s="26">
        <f>IF(data!$D19=1,0,IF(data!A19=0,0,$H26/Zadání!$F$21))</f>
        <v>0</v>
      </c>
      <c r="AA26" s="27">
        <f>IF(data!A19=0,0,$T26*$Z26)</f>
        <v>0</v>
      </c>
      <c r="AB26" s="27">
        <f>IF(data!A19=0,0,$U26*$Z26)</f>
        <v>0</v>
      </c>
      <c r="AC26" s="27">
        <f>IF(data!A19=0,0,$V26*$Z26)</f>
        <v>0</v>
      </c>
      <c r="AD26" s="28">
        <f>IF(data!A19=0,0,$N26*$Z26)</f>
        <v>0</v>
      </c>
      <c r="AE26" s="63">
        <f>IF(data!$D19=1,0,IF(data!A19=0,0,($I26/Zadání!$F$21)))</f>
        <v>0</v>
      </c>
      <c r="AF26" s="27">
        <f>IF(data!A19=0,0,$W26*$AE26)</f>
        <v>0</v>
      </c>
      <c r="AG26" s="27">
        <f>IF(data!A19=0,0,$X26*$AE26)</f>
        <v>0</v>
      </c>
      <c r="AH26" s="27">
        <f>IF(data!A19=0,0,$Y26*$AE26)</f>
        <v>0</v>
      </c>
      <c r="AI26" s="28">
        <f>IF(data!A19=0,0,$S26*$AE26)</f>
        <v>0</v>
      </c>
      <c r="AJ26" s="36">
        <f>IF(data!A19=0,0,$AA26+AF26)</f>
        <v>0</v>
      </c>
      <c r="AK26" s="37">
        <f>IF(data!A19=0,0,AB26+AG26)</f>
        <v>0</v>
      </c>
      <c r="AL26" s="37">
        <f>IF(data!A19=0,0,AC26+AH26)</f>
        <v>0</v>
      </c>
      <c r="AM26" s="38">
        <f>IF(data!A19=0,0,AD26+AI26)</f>
        <v>0</v>
      </c>
      <c r="AN26" s="39">
        <f>IF(data!A19=0,0,$AJ26*data!$M$3)</f>
        <v>0</v>
      </c>
      <c r="AO26" s="40">
        <f>IF(data!A19=0,0,$AK26*data!$M$4)</f>
        <v>0</v>
      </c>
      <c r="AP26" s="40">
        <f>IF(data!A19=0,0,IF(AL26=0,0,VLOOKUP($M26,data!$O$4:$P$6,2)*(AL26)))</f>
        <v>0</v>
      </c>
      <c r="AQ26" s="40">
        <f>IF(data!A19=0,0,$AM26*data!$M$5)</f>
        <v>0</v>
      </c>
      <c r="AR26" s="41">
        <f>IF(data!A19=0,0,$AN26+$AO26+$AP26+$AQ26)</f>
        <v>0</v>
      </c>
      <c r="AS26" s="54">
        <f>IF($H26=0,0,IF(data!$D19=1,($AT26*$H26),IF(data!$I$6=1,IF(data!$A19=0,0,($AR26/((data!$M$7-data!$M$11)*10^-6))),IF(data!A19=0,0,($AR26/((data!$M$8-data!$M$11)*10^-6))))))</f>
        <v>0</v>
      </c>
      <c r="AT26" s="51">
        <f>IF(data!$A19=0,0,IF(data!$D19=1,IF(H26=0,0,((data!$C67*$D26)/(((data!$M$7-data!$M$11)*10^-6)*$H26))*3600),IF($H26=0,0,$AS26/$H26)))</f>
        <v>0</v>
      </c>
      <c r="AU26" s="55">
        <f>IF(data!A19=0,0,IF(E26=0,0,$AS26/($E26*$F26*$G26)))</f>
        <v>0</v>
      </c>
      <c r="AV26" s="56">
        <f>IF(data!A19=0,0,IF($AU26&gt;0.5,$AS26,0.5*($E26*$F26*$G26)))</f>
        <v>0</v>
      </c>
      <c r="AW26" s="35"/>
      <c r="AX26" s="35"/>
      <c r="AY26" s="35"/>
      <c r="AZ26" s="35"/>
      <c r="BA26" s="35"/>
      <c r="BB26" s="35"/>
      <c r="BC26" s="35"/>
      <c r="BD26" s="35"/>
    </row>
    <row r="27" spans="2:56" ht="15" customHeight="1">
      <c r="B27" s="4" t="s">
        <v>17</v>
      </c>
      <c r="C27" s="66"/>
      <c r="D27" s="156"/>
      <c r="E27" s="157">
        <v>0</v>
      </c>
      <c r="F27" s="158">
        <v>0</v>
      </c>
      <c r="G27" s="156">
        <v>0</v>
      </c>
      <c r="H27" s="159">
        <v>0</v>
      </c>
      <c r="I27" s="60">
        <f>IF(data!A20=0,0,CHOOSE(data!$G$3,data!D46,data!E46,data!F46,data!G46,data!H46,data!I46,data!J46,data!K46,data!L46,data!M46,data!N46,data!O46,data!P46,data!Q46,data!R46,data!S46,data!T46,data!U46,data!V46,data!W46))</f>
        <v>0</v>
      </c>
      <c r="J27" s="159">
        <v>0</v>
      </c>
      <c r="K27" s="158">
        <v>0</v>
      </c>
      <c r="L27" s="158">
        <v>0</v>
      </c>
      <c r="M27" s="158">
        <v>0</v>
      </c>
      <c r="N27" s="64">
        <f>IF(data!$A$3=0,0,IF($H27=0,0,IF(data!$D20=1,0,IF(data!$G$3=data!$B20,70,30))))</f>
        <v>0</v>
      </c>
      <c r="O27" s="159">
        <v>0</v>
      </c>
      <c r="P27" s="158">
        <v>0</v>
      </c>
      <c r="Q27" s="158">
        <v>0</v>
      </c>
      <c r="R27" s="158">
        <v>0</v>
      </c>
      <c r="S27" s="22">
        <f>IF(data!$D20=1,0,IF(data!$G$3=data!$B20,40,0))</f>
        <v>0</v>
      </c>
      <c r="T27" s="23">
        <f>IF(data!$D20=1,0,IF(data!$A20=0,0,(J27/Zadání!$H$18)))</f>
        <v>0</v>
      </c>
      <c r="U27" s="24">
        <f>IF(data!$D20=1,0,IF(data!$A20=0,0,(K27/Zadání!$H$18)))</f>
        <v>0</v>
      </c>
      <c r="V27" s="25">
        <f>IF(data!$D20=1,0,IF(data!A20=0,0,(L27/Zadání!$H$18)))</f>
        <v>0</v>
      </c>
      <c r="W27" s="23">
        <f>IF(data!$D20=1,0,IF(data!$R$13=2,0,IF(data!$A20=0,0,(O27/Zadání!$H$18))))</f>
        <v>0</v>
      </c>
      <c r="X27" s="24">
        <f>IF(data!$D20=1,0,IF(data!A20=0,0,(P27/Zadání!$H$18)))</f>
        <v>0</v>
      </c>
      <c r="Y27" s="25">
        <f>IF(data!$D20=1,0,IF(data!A20=0,0,(Q27/Zadání!$H$18)))</f>
        <v>0</v>
      </c>
      <c r="Z27" s="26">
        <f>IF(data!$D20=1,0,IF(data!A20=0,0,$H27/Zadání!$F$21))</f>
        <v>0</v>
      </c>
      <c r="AA27" s="27">
        <f>IF(data!A20=0,0,$T27*$Z27)</f>
        <v>0</v>
      </c>
      <c r="AB27" s="27">
        <f>IF(data!A20=0,0,$U27*$Z27)</f>
        <v>0</v>
      </c>
      <c r="AC27" s="27">
        <f>IF(data!A20=0,0,$V27*$Z27)</f>
        <v>0</v>
      </c>
      <c r="AD27" s="28">
        <f>IF(data!A20=0,0,$N27*$Z27)</f>
        <v>0</v>
      </c>
      <c r="AE27" s="63">
        <f>IF(data!$D20=1,0,IF(data!A20=0,0,($I27/Zadání!$F$21)))</f>
        <v>0</v>
      </c>
      <c r="AF27" s="27">
        <f>IF(data!A20=0,0,$W27*$AE27)</f>
        <v>0</v>
      </c>
      <c r="AG27" s="27">
        <f>IF(data!A20=0,0,$X27*$AE27)</f>
        <v>0</v>
      </c>
      <c r="AH27" s="27">
        <f>IF(data!A20=0,0,$Y27*$AE27)</f>
        <v>0</v>
      </c>
      <c r="AI27" s="28">
        <f>IF(data!A20=0,0,$S27*$AE27)</f>
        <v>0</v>
      </c>
      <c r="AJ27" s="36">
        <f>IF(data!A20=0,0,$AA27+AF27)</f>
        <v>0</v>
      </c>
      <c r="AK27" s="37">
        <f>IF(data!A20=0,0,AB27+AG27)</f>
        <v>0</v>
      </c>
      <c r="AL27" s="37">
        <f>IF(data!A20=0,0,AC27+AH27)</f>
        <v>0</v>
      </c>
      <c r="AM27" s="38">
        <f>IF(data!A20=0,0,AD27+AI27)</f>
        <v>0</v>
      </c>
      <c r="AN27" s="39">
        <f>IF(data!A20=0,0,$AJ27*data!$M$3)</f>
        <v>0</v>
      </c>
      <c r="AO27" s="40">
        <f>IF(data!A20=0,0,$AK27*data!$M$4)</f>
        <v>0</v>
      </c>
      <c r="AP27" s="40">
        <f>IF(data!A20=0,0,IF(AL27=0,0,VLOOKUP($M27,data!$O$4:$P$6,2)*(AL27)))</f>
        <v>0</v>
      </c>
      <c r="AQ27" s="40">
        <f>IF(data!A20=0,0,$AM27*data!$M$5)</f>
        <v>0</v>
      </c>
      <c r="AR27" s="41">
        <f>IF(data!A20=0,0,$AN27+$AO27+$AP27+$AQ27)</f>
        <v>0</v>
      </c>
      <c r="AS27" s="54">
        <f>IF($H27=0,0,IF(data!$D20=1,($AT27*$H27),IF(data!$I$6=1,IF(data!$A20=0,0,($AR27/((data!$M$7-data!$M$11)*10^-6))),IF(data!A20=0,0,($AR27/((data!$M$8-data!$M$11)*10^-6))))))</f>
        <v>0</v>
      </c>
      <c r="AT27" s="51">
        <f>IF(data!$A20=0,0,IF(data!$D20=1,IF(H27=0,0,((data!$C68*$D27)/(((data!$M$7-data!$M$11)*10^-6)*$H27))*3600),IF($H27=0,0,$AS27/$H27)))</f>
        <v>0</v>
      </c>
      <c r="AU27" s="55">
        <f>IF(data!A20=0,0,IF(E27=0,0,$AS27/($E27*$F27*$G27)))</f>
        <v>0</v>
      </c>
      <c r="AV27" s="56">
        <f>IF(data!A20=0,0,IF($AU27&gt;0.5,$AS27,0.5*($E27*$F27*$G27)))</f>
        <v>0</v>
      </c>
      <c r="AW27" s="35"/>
      <c r="AX27" s="35"/>
      <c r="AY27" s="35"/>
      <c r="AZ27" s="35"/>
      <c r="BA27" s="35"/>
      <c r="BB27" s="35"/>
      <c r="BC27" s="35"/>
      <c r="BD27" s="35"/>
    </row>
    <row r="28" spans="2:56" ht="15" customHeight="1">
      <c r="B28" s="4" t="s">
        <v>18</v>
      </c>
      <c r="C28" s="66"/>
      <c r="D28" s="156"/>
      <c r="E28" s="157">
        <v>0</v>
      </c>
      <c r="F28" s="158">
        <v>0</v>
      </c>
      <c r="G28" s="156">
        <v>0</v>
      </c>
      <c r="H28" s="159">
        <v>0</v>
      </c>
      <c r="I28" s="60">
        <f>IF(data!A21=0,0,CHOOSE(data!$G$3,data!D47,data!E47,data!F47,data!G47,data!H47,data!I47,data!J47,data!K47,data!L47,data!M47,data!N47,data!O47,data!P47,data!Q47,data!R47,data!S47,data!T47,data!U47,data!V47,data!W47))</f>
        <v>0</v>
      </c>
      <c r="J28" s="159">
        <v>0</v>
      </c>
      <c r="K28" s="158">
        <v>0</v>
      </c>
      <c r="L28" s="158">
        <v>0</v>
      </c>
      <c r="M28" s="158">
        <v>0</v>
      </c>
      <c r="N28" s="64">
        <f>IF(data!$A$3=0,0,IF($H28=0,0,IF(data!$D21=1,0,IF(data!$G$3=data!$B21,70,30))))</f>
        <v>0</v>
      </c>
      <c r="O28" s="159">
        <v>0</v>
      </c>
      <c r="P28" s="158">
        <v>0</v>
      </c>
      <c r="Q28" s="158">
        <v>0</v>
      </c>
      <c r="R28" s="158">
        <v>0</v>
      </c>
      <c r="S28" s="22">
        <f>IF(data!$D21=1,0,IF(data!$G$3=data!$B21,40,0))</f>
        <v>0</v>
      </c>
      <c r="T28" s="98">
        <f>IF(data!$D21=1,0,IF(data!$A21=0,0,(J28/Zadání!$H$18)))</f>
        <v>0</v>
      </c>
      <c r="U28" s="99">
        <f>IF(data!$D21=1,0,IF(data!$A21=0,0,(K28/Zadání!$H$18)))</f>
        <v>0</v>
      </c>
      <c r="V28" s="100">
        <f>IF(data!$D21=1,0,IF(data!A21=0,0,(L28/Zadání!$H$18)))</f>
        <v>0</v>
      </c>
      <c r="W28" s="98">
        <f>IF(data!$D21=1,0,IF(data!$R$13=2,0,IF(data!$A21=0,0,(O28/Zadání!$H$18))))</f>
        <v>0</v>
      </c>
      <c r="X28" s="99">
        <f>IF(data!$D21=1,0,IF(data!A21=0,0,(P28/Zadání!$H$18)))</f>
        <v>0</v>
      </c>
      <c r="Y28" s="100">
        <f>IF(data!$D21=1,0,IF(data!A21=0,0,(Q28/Zadání!$H$18)))</f>
        <v>0</v>
      </c>
      <c r="Z28" s="36">
        <f>IF(data!$D21=1,0,IF(data!A21=0,0,$H28/Zadání!$F$21))</f>
        <v>0</v>
      </c>
      <c r="AA28" s="105">
        <f>IF(data!A21=0,0,$T28*$Z28)</f>
        <v>0</v>
      </c>
      <c r="AB28" s="105">
        <f>IF(data!A21=0,0,$U28*$Z28)</f>
        <v>0</v>
      </c>
      <c r="AC28" s="105">
        <f>IF(data!A21=0,0,$V28*$Z28)</f>
        <v>0</v>
      </c>
      <c r="AD28" s="38">
        <f>IF(data!A21=0,0,$N28*$Z28)</f>
        <v>0</v>
      </c>
      <c r="AE28" s="106">
        <f>IF(data!$D21=1,0,IF(data!A21=0,0,($I28/Zadání!$F$21)))</f>
        <v>0</v>
      </c>
      <c r="AF28" s="105">
        <f>IF(data!A21=0,0,$W28*$AE28)</f>
        <v>0</v>
      </c>
      <c r="AG28" s="105">
        <f>IF(data!A21=0,0,$X28*$AE28)</f>
        <v>0</v>
      </c>
      <c r="AH28" s="105">
        <f>IF(data!A21=0,0,$Y28*$AE28)</f>
        <v>0</v>
      </c>
      <c r="AI28" s="38">
        <f>IF(data!A21=0,0,$S28*$AE28)</f>
        <v>0</v>
      </c>
      <c r="AJ28" s="36">
        <f>IF(data!A21=0,0,$AA28+AF28)</f>
        <v>0</v>
      </c>
      <c r="AK28" s="37">
        <f>IF(data!A21=0,0,AB28+AG28)</f>
        <v>0</v>
      </c>
      <c r="AL28" s="37">
        <f>IF(data!A21=0,0,AC28+AH28)</f>
        <v>0</v>
      </c>
      <c r="AM28" s="38">
        <f>IF(data!A21=0,0,AD28+AI28)</f>
        <v>0</v>
      </c>
      <c r="AN28" s="39">
        <f>IF(data!A21=0,0,$AJ28*data!$M$3)</f>
        <v>0</v>
      </c>
      <c r="AO28" s="40">
        <f>IF(data!A21=0,0,$AK28*data!$M$4)</f>
        <v>0</v>
      </c>
      <c r="AP28" s="40">
        <f>IF(data!A21=0,0,IF(AL28=0,0,VLOOKUP($M28,data!$O$4:$P$6,2)*(AL28)))</f>
        <v>0</v>
      </c>
      <c r="AQ28" s="40">
        <f>IF(data!A21=0,0,$AM28*data!$M$5)</f>
        <v>0</v>
      </c>
      <c r="AR28" s="41">
        <f>IF(data!A21=0,0,$AN28+$AO28+$AP28+$AQ28)</f>
        <v>0</v>
      </c>
      <c r="AS28" s="54">
        <f>IF($H28=0,0,IF(data!$D21=1,($AT28*$H28),IF(data!$I$6=1,IF(data!$A21=0,0,($AR28/((data!$M$7-data!$M$11)*10^-6))),IF(data!A21=0,0,($AR28/((data!$M$8-data!$M$11)*10^-6))))))</f>
        <v>0</v>
      </c>
      <c r="AT28" s="51">
        <f>IF(data!$A21=0,0,IF(data!$D21=1,IF(H28=0,0,((data!$C69*$D28)/(((data!$M$7-data!$M$11)*10^-6)*$H28))*3600),IF($H28=0,0,$AS28/$H28)))</f>
        <v>0</v>
      </c>
      <c r="AU28" s="55">
        <f>IF(data!A21=0,0,IF(E28=0,0,$AS28/($E28*$F28*$G28)))</f>
        <v>0</v>
      </c>
      <c r="AV28" s="56">
        <f>IF(data!A21=0,0,IF($AU28&gt;0.5,$AS28,0.5*($E28*$F28*$G28)))</f>
        <v>0</v>
      </c>
      <c r="AW28" s="35"/>
      <c r="AX28" s="35"/>
      <c r="AY28" s="35"/>
      <c r="AZ28" s="35"/>
      <c r="BA28" s="35"/>
      <c r="BB28" s="35"/>
      <c r="BC28" s="35"/>
      <c r="BD28" s="35"/>
    </row>
    <row r="29" spans="2:56" ht="15" customHeight="1" thickBot="1">
      <c r="B29" s="4" t="s">
        <v>19</v>
      </c>
      <c r="C29" s="67"/>
      <c r="D29" s="160"/>
      <c r="E29" s="161">
        <v>0</v>
      </c>
      <c r="F29" s="162">
        <v>0</v>
      </c>
      <c r="G29" s="160">
        <v>0</v>
      </c>
      <c r="H29" s="163">
        <v>0</v>
      </c>
      <c r="I29" s="61">
        <f>IF(data!A22=0,0,CHOOSE(data!$G$3,data!D48,data!E48,data!F48,data!G48,data!H48,data!I48,data!J48,data!K48,data!L48,data!M48,data!N48,data!O48,data!P48,data!Q48,data!R48,data!S48,data!T48,data!U48,data!V48,data!W48))</f>
        <v>0</v>
      </c>
      <c r="J29" s="163">
        <v>0</v>
      </c>
      <c r="K29" s="162">
        <v>0</v>
      </c>
      <c r="L29" s="162">
        <v>0</v>
      </c>
      <c r="M29" s="162">
        <v>0</v>
      </c>
      <c r="N29" s="42">
        <f>IF(data!$A$3=0,0,IF($H29=0,0,IF(data!$D22=1,0,IF(data!$G$3=data!$B22,70,30))))</f>
        <v>0</v>
      </c>
      <c r="O29" s="163">
        <v>0</v>
      </c>
      <c r="P29" s="162">
        <v>0</v>
      </c>
      <c r="Q29" s="162">
        <v>0</v>
      </c>
      <c r="R29" s="162">
        <v>0</v>
      </c>
      <c r="S29" s="42">
        <f>IF(data!$D22=1,0,IF(data!$G$3=data!$B22,40,0))</f>
        <v>0</v>
      </c>
      <c r="T29" s="101">
        <f>IF(data!$D22=1,0,IF(data!$A22=0,0,(J29/Zadání!$H$18)))</f>
        <v>0</v>
      </c>
      <c r="U29" s="102">
        <f>IF(data!$D22=1,0,IF(data!$A22=0,0,(K29/Zadání!$H$18)))</f>
        <v>0</v>
      </c>
      <c r="V29" s="103">
        <f>IF(data!$D22=1,0,IF(data!A22=0,0,(L29/Zadání!$H$18)))</f>
        <v>0</v>
      </c>
      <c r="W29" s="101">
        <f>IF(data!$D22=1,0,IF(data!$R$13=2,0,IF(data!$A22=0,0,(O29/Zadání!$H$18))))</f>
        <v>0</v>
      </c>
      <c r="X29" s="102">
        <f>IF(data!$D22=1,0,IF(data!A22=0,0,(P29/Zadání!$H$18)))</f>
        <v>0</v>
      </c>
      <c r="Y29" s="103">
        <f>IF(data!$D22=1,0,IF(data!A22=0,0,(Q29/Zadání!$H$18)))</f>
        <v>0</v>
      </c>
      <c r="Z29" s="107">
        <f>IF(data!$D22=1,0,IF(data!A22=0,0,$H29/Zadání!$F$21))</f>
        <v>0</v>
      </c>
      <c r="AA29" s="44">
        <f>IF(data!A22=0,0,$T29*$Z29)</f>
        <v>0</v>
      </c>
      <c r="AB29" s="44">
        <f>IF(data!A22=0,0,$U29*$Z29)</f>
        <v>0</v>
      </c>
      <c r="AC29" s="44">
        <f>IF(data!A22=0,0,$V29*$Z29)</f>
        <v>0</v>
      </c>
      <c r="AD29" s="45">
        <f>IF(data!A22=0,0,$N29*$Z29)</f>
        <v>0</v>
      </c>
      <c r="AE29" s="108">
        <f>IF(data!$D22=1,0,IF(data!A22=0,0,($I29/Zadání!$F$21)))</f>
        <v>0</v>
      </c>
      <c r="AF29" s="44">
        <f>IF(data!A22=0,0,$W29*$AE29)</f>
        <v>0</v>
      </c>
      <c r="AG29" s="44">
        <f>IF(data!A22=0,0,$X29*$AE29)</f>
        <v>0</v>
      </c>
      <c r="AH29" s="44">
        <f>IF(data!A22=0,0,$Y29*$AE29)</f>
        <v>0</v>
      </c>
      <c r="AI29" s="45">
        <f>IF(data!A22=0,0,$S29*$AE29)</f>
        <v>0</v>
      </c>
      <c r="AJ29" s="43">
        <f>IF(data!A22=0,0,$AA29+AF29)</f>
        <v>0</v>
      </c>
      <c r="AK29" s="46">
        <f>IF(data!A22=0,0,AB29+AG29)</f>
        <v>0</v>
      </c>
      <c r="AL29" s="46">
        <f>IF(data!A22=0,0,AC29+AH29)</f>
        <v>0</v>
      </c>
      <c r="AM29" s="45">
        <f>IF(data!A22=0,0,AD29+AI29)</f>
        <v>0</v>
      </c>
      <c r="AN29" s="47">
        <f>IF(data!A22=0,0,$AJ29*data!$M$3)</f>
        <v>0</v>
      </c>
      <c r="AO29" s="48">
        <f>IF(data!A22=0,0,$AK29*data!$M$4)</f>
        <v>0</v>
      </c>
      <c r="AP29" s="48">
        <f>IF(data!A22=0,0,IF(AL29=0,0,VLOOKUP($M29,data!$O$4:$P$6,2)*(AL29)))</f>
        <v>0</v>
      </c>
      <c r="AQ29" s="48">
        <f>IF(data!A22=0,0,$AM29*data!$M$5)</f>
        <v>0</v>
      </c>
      <c r="AR29" s="49">
        <f>IF(data!A22=0,0,$AN29+$AO29+$AP29+$AQ29)</f>
        <v>0</v>
      </c>
      <c r="AS29" s="57">
        <f>IF($H29=0,0,IF(data!$D22=1,($AT29*$H29),IF(data!$I$6=1,IF(data!$A22=0,0,($AR29/((data!$M$7-data!$M$11)*10^-6))),IF(data!A22=0,0,($AR29/((data!$M$8-data!$M$11)*10^-6))))))</f>
        <v>0</v>
      </c>
      <c r="AT29" s="51">
        <f>IF(data!$A22=0,0,IF(data!$D22=1,IF(H29=0,0,((data!$C70*$D29)/(((data!$M$7-data!$M$11)*10^-6)*$H29))*3600),IF($H29=0,0,$AS29/$H29)))</f>
        <v>0</v>
      </c>
      <c r="AU29" s="58">
        <f>IF(data!A22=0,0,IF(E29=0,0,$AS29/($E29*$F29*$G29)))</f>
        <v>0</v>
      </c>
      <c r="AV29" s="59">
        <f>IF(data!A22=0,0,IF($AU29&gt;0.5,$AS29,0.5*($E29*$F29*$G29)))</f>
        <v>0</v>
      </c>
      <c r="AW29" s="35"/>
      <c r="AX29" s="35"/>
      <c r="AY29" s="35"/>
      <c r="AZ29" s="35"/>
      <c r="BA29" s="35"/>
      <c r="BB29" s="35"/>
      <c r="BC29" s="35"/>
      <c r="BD29" s="35"/>
    </row>
    <row r="30" spans="43:48" ht="15" thickBot="1">
      <c r="AQ30" s="248" t="s">
        <v>130</v>
      </c>
      <c r="AR30" s="249"/>
      <c r="AS30" s="20">
        <f>SUM(AS10:AS29)</f>
        <v>7089.419022222224</v>
      </c>
      <c r="AT30" s="248" t="s">
        <v>131</v>
      </c>
      <c r="AU30" s="249"/>
      <c r="AV30" s="20">
        <f>SUM(AV10:AV29)</f>
        <v>13125</v>
      </c>
    </row>
  </sheetData>
  <sheetProtection password="C477" sheet="1" objects="1" scenarios="1" selectLockedCells="1"/>
  <mergeCells count="20">
    <mergeCell ref="D2:J2"/>
    <mergeCell ref="C6:C9"/>
    <mergeCell ref="AQ30:AR30"/>
    <mergeCell ref="AV6:AV7"/>
    <mergeCell ref="AU6:AU7"/>
    <mergeCell ref="O6:S6"/>
    <mergeCell ref="H6:H7"/>
    <mergeCell ref="T6:V6"/>
    <mergeCell ref="J6:N6"/>
    <mergeCell ref="W6:Y6"/>
    <mergeCell ref="AT30:AU30"/>
    <mergeCell ref="D6:D7"/>
    <mergeCell ref="AS6:AS7"/>
    <mergeCell ref="AE6:AI6"/>
    <mergeCell ref="AJ6:AM6"/>
    <mergeCell ref="AN6:AR6"/>
    <mergeCell ref="E6:G6"/>
    <mergeCell ref="Z6:AD6"/>
    <mergeCell ref="I6:I9"/>
    <mergeCell ref="AT6:AT7"/>
  </mergeCells>
  <conditionalFormatting sqref="D4 J3:J4 C10:AV29">
    <cfRule type="cellIs" priority="1" dxfId="1" operator="notEqual" stopIfTrue="1">
      <formula>0</formula>
    </cfRule>
    <cfRule type="cellIs" priority="2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3"/>
  <ignoredErrors>
    <ignoredError sqref="AP13:AR29 AU13:AV29 AU12:AV12 AU10:AV10 AP12 AS12:AS29 AS11 AP11 AU11:AV11 AT12:AT29" emptyCellReference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showGridLines="0" zoomScalePageLayoutView="0" workbookViewId="0" topLeftCell="A1">
      <selection activeCell="AC18" sqref="AC18"/>
    </sheetView>
  </sheetViews>
  <sheetFormatPr defaultColWidth="9.140625" defaultRowHeight="12.75"/>
  <cols>
    <col min="1" max="1" width="2.00390625" style="0" customWidth="1"/>
    <col min="2" max="2" width="3.8515625" style="0" customWidth="1"/>
    <col min="3" max="3" width="5.8515625" style="0" customWidth="1"/>
    <col min="4" max="4" width="9.28125" style="0" customWidth="1"/>
    <col min="5" max="5" width="7.7109375" style="0" customWidth="1"/>
    <col min="6" max="6" width="7.57421875" style="0" customWidth="1"/>
    <col min="7" max="7" width="8.421875" style="0" customWidth="1"/>
    <col min="8" max="8" width="9.57421875" style="0" customWidth="1"/>
    <col min="9" max="9" width="8.421875" style="0" customWidth="1"/>
    <col min="10" max="11" width="9.57421875" style="0" customWidth="1"/>
    <col min="12" max="12" width="6.8515625" style="0" customWidth="1"/>
    <col min="13" max="14" width="8.421875" style="0" customWidth="1"/>
    <col min="15" max="16" width="9.57421875" style="0" customWidth="1"/>
    <col min="17" max="17" width="6.8515625" style="0" customWidth="1"/>
    <col min="18" max="18" width="8.421875" style="0" customWidth="1"/>
    <col min="19" max="19" width="7.7109375" style="0" customWidth="1"/>
    <col min="20" max="20" width="8.7109375" style="0" customWidth="1"/>
    <col min="21" max="21" width="8.421875" style="0" customWidth="1"/>
    <col min="22" max="22" width="9.00390625" style="0" customWidth="1"/>
    <col min="23" max="23" width="3.28125" style="0" customWidth="1"/>
    <col min="24" max="39" width="9.140625" style="175" customWidth="1"/>
  </cols>
  <sheetData>
    <row r="1" spans="1:23" ht="8.25" customHeight="1">
      <c r="A1" s="175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</row>
    <row r="2" spans="1:22" ht="6.75" customHeight="1">
      <c r="A2" s="17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8">
      <c r="A3" s="175"/>
      <c r="D3" s="271" t="s">
        <v>146</v>
      </c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174"/>
      <c r="P3" s="174"/>
      <c r="Q3" s="174"/>
      <c r="R3" s="174"/>
      <c r="S3" s="174"/>
      <c r="T3" s="174"/>
      <c r="U3" s="174"/>
      <c r="V3" s="174"/>
    </row>
    <row r="4" spans="1:22" ht="4.5" customHeight="1">
      <c r="A4" s="17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" customHeight="1">
      <c r="A5" s="175"/>
      <c r="C5" s="1"/>
      <c r="D5" s="110" t="s">
        <v>132</v>
      </c>
      <c r="E5" s="1"/>
      <c r="F5" s="190">
        <f>Zadání!$C$4</f>
        <v>0</v>
      </c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"/>
      <c r="T5" s="110" t="s">
        <v>152</v>
      </c>
      <c r="U5" s="278">
        <f ca="1">TODAY()</f>
        <v>41450</v>
      </c>
      <c r="V5" s="278"/>
    </row>
    <row r="6" spans="1:22" ht="15" customHeight="1">
      <c r="A6" s="175"/>
      <c r="C6" s="1"/>
      <c r="D6" s="110" t="s">
        <v>153</v>
      </c>
      <c r="E6" s="1"/>
      <c r="F6" s="115">
        <f>Zadání!$C$5</f>
        <v>0</v>
      </c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"/>
      <c r="T6" s="114"/>
      <c r="U6" s="112"/>
      <c r="V6" s="112"/>
    </row>
    <row r="7" spans="1:22" ht="15" customHeight="1">
      <c r="A7" s="175"/>
      <c r="C7" s="1"/>
      <c r="D7" s="110" t="s">
        <v>154</v>
      </c>
      <c r="E7" s="115"/>
      <c r="F7" s="115">
        <f>Zadání!C6</f>
        <v>0</v>
      </c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"/>
      <c r="T7" s="114"/>
      <c r="U7" s="112"/>
      <c r="V7" s="112"/>
    </row>
    <row r="8" spans="1:22" ht="15" customHeight="1">
      <c r="A8" s="175"/>
      <c r="C8" s="1"/>
      <c r="D8" s="110" t="s">
        <v>162</v>
      </c>
      <c r="E8" s="115"/>
      <c r="F8" s="115">
        <f>Zadání!D7</f>
        <v>0</v>
      </c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"/>
      <c r="T8" s="114"/>
      <c r="U8" s="112"/>
      <c r="V8" s="112"/>
    </row>
    <row r="9" spans="1:22" ht="6" customHeight="1">
      <c r="A9" s="175"/>
      <c r="C9" s="1"/>
      <c r="D9" s="116"/>
      <c r="E9" s="21"/>
      <c r="F9" s="2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" customHeight="1">
      <c r="A10" s="175"/>
      <c r="C10" s="1"/>
      <c r="D10" s="117" t="s">
        <v>147</v>
      </c>
      <c r="E10" s="118"/>
      <c r="F10" s="118"/>
      <c r="G10" s="272" t="str">
        <f>IF(data!$I$3=1,"Velkoměsto","Malé město")</f>
        <v>Malé město</v>
      </c>
      <c r="H10" s="272"/>
      <c r="J10" s="1"/>
      <c r="K10" s="117" t="s">
        <v>164</v>
      </c>
      <c r="L10" s="1"/>
      <c r="N10" s="119"/>
      <c r="O10" s="122">
        <f>Zadání!F17</f>
        <v>146</v>
      </c>
      <c r="P10" s="120" t="s">
        <v>161</v>
      </c>
      <c r="Q10" s="1"/>
      <c r="R10" s="1"/>
      <c r="U10" s="1"/>
      <c r="V10" s="1"/>
    </row>
    <row r="11" spans="1:22" ht="15" customHeight="1">
      <c r="A11" s="175"/>
      <c r="C11" s="1"/>
      <c r="D11" s="117" t="s">
        <v>148</v>
      </c>
      <c r="E11" s="119"/>
      <c r="F11" s="119"/>
      <c r="G11" s="122" t="str">
        <f>IF(data!$I$6=1,"Ano","Ne")</f>
        <v>Ano</v>
      </c>
      <c r="H11" s="122"/>
      <c r="J11" s="1"/>
      <c r="K11" s="117" t="s">
        <v>157</v>
      </c>
      <c r="L11" s="1"/>
      <c r="N11" s="119"/>
      <c r="O11" s="122">
        <f>Zadání!$F$18</f>
        <v>10</v>
      </c>
      <c r="P11" s="120" t="s">
        <v>155</v>
      </c>
      <c r="Q11" s="121">
        <f>Zadání!$H$18</f>
        <v>2.7777777777777777</v>
      </c>
      <c r="R11" s="120" t="s">
        <v>156</v>
      </c>
      <c r="U11" s="1"/>
      <c r="V11" s="1"/>
    </row>
    <row r="12" spans="1:22" ht="15" customHeight="1">
      <c r="A12" s="175"/>
      <c r="C12" s="1"/>
      <c r="D12" s="117" t="s">
        <v>149</v>
      </c>
      <c r="E12" s="119"/>
      <c r="F12" s="119"/>
      <c r="G12" s="122" t="str">
        <f>VLOOKUP(data!$G$3,data!B3:C22,2)</f>
        <v>1. PP</v>
      </c>
      <c r="H12" s="122"/>
      <c r="J12" s="1"/>
      <c r="K12" s="117" t="s">
        <v>150</v>
      </c>
      <c r="L12" s="1"/>
      <c r="N12" s="119"/>
      <c r="O12" s="122" t="str">
        <f>VLOOKUP(data!R3,data!S3:W10,2)</f>
        <v>Administrativní budova ΣP &lt; 50</v>
      </c>
      <c r="P12" s="109"/>
      <c r="Q12" s="1"/>
      <c r="R12" s="1"/>
      <c r="U12" s="1"/>
      <c r="V12" s="1"/>
    </row>
    <row r="13" spans="1:22" ht="15" customHeight="1">
      <c r="A13" s="175"/>
      <c r="C13" s="1"/>
      <c r="D13" s="117" t="s">
        <v>163</v>
      </c>
      <c r="E13" s="119"/>
      <c r="F13" s="119"/>
      <c r="G13" s="122">
        <f>data!$G$5</f>
        <v>3</v>
      </c>
      <c r="H13" s="122"/>
      <c r="J13" s="120" t="s">
        <v>161</v>
      </c>
      <c r="K13" s="117" t="s">
        <v>158</v>
      </c>
      <c r="L13" s="1"/>
      <c r="N13" s="119"/>
      <c r="O13" s="122">
        <f>Zadání!$F$20</f>
        <v>0.5</v>
      </c>
      <c r="P13" s="120" t="s">
        <v>159</v>
      </c>
      <c r="Q13" s="1"/>
      <c r="R13" s="1"/>
      <c r="U13" s="1"/>
      <c r="V13" s="1"/>
    </row>
    <row r="14" spans="1:22" ht="15" customHeight="1">
      <c r="A14" s="175"/>
      <c r="C14" s="1"/>
      <c r="D14" s="117" t="s">
        <v>175</v>
      </c>
      <c r="E14" s="1"/>
      <c r="F14" s="1"/>
      <c r="G14" s="272" t="str">
        <f>IF(data!R13=1,"Rampa přímá","Šroubovitá rampa")</f>
        <v>Šroubovitá rampa</v>
      </c>
      <c r="H14" s="272"/>
      <c r="J14" s="1"/>
      <c r="K14" s="117" t="s">
        <v>186</v>
      </c>
      <c r="L14" s="1"/>
      <c r="N14" s="119"/>
      <c r="O14" s="189">
        <f>Zadání!$F$21</f>
        <v>2</v>
      </c>
      <c r="P14" s="120" t="s">
        <v>160</v>
      </c>
      <c r="Q14" s="1"/>
      <c r="R14" s="1"/>
      <c r="U14" s="1"/>
      <c r="V14" s="1"/>
    </row>
    <row r="15" spans="1:22" ht="9.75" customHeight="1">
      <c r="A15" s="175"/>
      <c r="C15" s="1"/>
      <c r="D15" s="114"/>
      <c r="E15" s="119"/>
      <c r="F15" s="119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291" t="s">
        <v>190</v>
      </c>
      <c r="T15" s="291"/>
      <c r="U15" s="291"/>
      <c r="V15" s="291"/>
    </row>
    <row r="16" spans="1:22" ht="9" customHeight="1" thickBot="1">
      <c r="A16" s="175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292" t="s">
        <v>192</v>
      </c>
      <c r="T16" s="292"/>
      <c r="U16" s="292"/>
      <c r="V16" s="292"/>
    </row>
    <row r="17" spans="1:22" ht="15" customHeight="1">
      <c r="A17" s="175"/>
      <c r="C17" s="1"/>
      <c r="D17" s="273" t="s">
        <v>91</v>
      </c>
      <c r="E17" s="269" t="s">
        <v>177</v>
      </c>
      <c r="F17" s="269" t="s">
        <v>133</v>
      </c>
      <c r="G17" s="269" t="s">
        <v>87</v>
      </c>
      <c r="H17" s="269" t="s">
        <v>109</v>
      </c>
      <c r="I17" s="268" t="s">
        <v>22</v>
      </c>
      <c r="J17" s="268"/>
      <c r="K17" s="268"/>
      <c r="L17" s="268"/>
      <c r="M17" s="268"/>
      <c r="N17" s="268" t="s">
        <v>24</v>
      </c>
      <c r="O17" s="268"/>
      <c r="P17" s="268"/>
      <c r="Q17" s="268"/>
      <c r="R17" s="290"/>
      <c r="S17" s="283" t="s">
        <v>43</v>
      </c>
      <c r="T17" s="285" t="s">
        <v>122</v>
      </c>
      <c r="U17" s="269" t="s">
        <v>76</v>
      </c>
      <c r="V17" s="288" t="s">
        <v>96</v>
      </c>
    </row>
    <row r="18" spans="1:22" ht="38.25" customHeight="1">
      <c r="A18" s="175"/>
      <c r="C18" s="1"/>
      <c r="D18" s="274"/>
      <c r="E18" s="270"/>
      <c r="F18" s="270"/>
      <c r="G18" s="270"/>
      <c r="H18" s="276"/>
      <c r="I18" s="123" t="s">
        <v>25</v>
      </c>
      <c r="J18" s="123" t="s">
        <v>26</v>
      </c>
      <c r="K18" s="123" t="s">
        <v>23</v>
      </c>
      <c r="L18" s="123" t="s">
        <v>187</v>
      </c>
      <c r="M18" s="123" t="s">
        <v>33</v>
      </c>
      <c r="N18" s="123" t="s">
        <v>27</v>
      </c>
      <c r="O18" s="123" t="str">
        <f>Výpočet!P7</f>
        <v>Délka šroub. 
rampy 
klesání</v>
      </c>
      <c r="P18" s="123" t="str">
        <f>Výpočet!Q7</f>
        <v>Délka šroub. 
rampy 
stoupání</v>
      </c>
      <c r="Q18" s="123" t="s">
        <v>187</v>
      </c>
      <c r="R18" s="124" t="s">
        <v>33</v>
      </c>
      <c r="S18" s="284"/>
      <c r="T18" s="286"/>
      <c r="U18" s="287"/>
      <c r="V18" s="289"/>
    </row>
    <row r="19" spans="1:22" ht="12.75">
      <c r="A19" s="175"/>
      <c r="C19" s="1"/>
      <c r="D19" s="274"/>
      <c r="E19" s="126" t="s">
        <v>102</v>
      </c>
      <c r="F19" s="126" t="s">
        <v>134</v>
      </c>
      <c r="G19" s="126" t="s">
        <v>98</v>
      </c>
      <c r="H19" s="276"/>
      <c r="I19" s="126" t="s">
        <v>135</v>
      </c>
      <c r="J19" s="126" t="s">
        <v>136</v>
      </c>
      <c r="K19" s="126" t="s">
        <v>137</v>
      </c>
      <c r="L19" s="125"/>
      <c r="M19" s="126" t="s">
        <v>138</v>
      </c>
      <c r="N19" s="126" t="s">
        <v>135</v>
      </c>
      <c r="O19" s="126" t="s">
        <v>136</v>
      </c>
      <c r="P19" s="126" t="s">
        <v>137</v>
      </c>
      <c r="Q19" s="125"/>
      <c r="R19" s="127" t="s">
        <v>138</v>
      </c>
      <c r="S19" s="128" t="s">
        <v>121</v>
      </c>
      <c r="T19" s="126" t="s">
        <v>140</v>
      </c>
      <c r="U19" s="129" t="s">
        <v>124</v>
      </c>
      <c r="V19" s="127" t="s">
        <v>141</v>
      </c>
    </row>
    <row r="20" spans="1:22" ht="23.25" thickBot="1">
      <c r="A20" s="175"/>
      <c r="C20" s="1"/>
      <c r="D20" s="275"/>
      <c r="E20" s="130" t="s">
        <v>103</v>
      </c>
      <c r="F20" s="130" t="s">
        <v>139</v>
      </c>
      <c r="G20" s="130" t="s">
        <v>99</v>
      </c>
      <c r="H20" s="277"/>
      <c r="I20" s="130" t="s">
        <v>20</v>
      </c>
      <c r="J20" s="130" t="s">
        <v>20</v>
      </c>
      <c r="K20" s="130" t="s">
        <v>20</v>
      </c>
      <c r="L20" s="130" t="s">
        <v>21</v>
      </c>
      <c r="M20" s="130" t="s">
        <v>28</v>
      </c>
      <c r="N20" s="130" t="s">
        <v>20</v>
      </c>
      <c r="O20" s="130" t="s">
        <v>20</v>
      </c>
      <c r="P20" s="130" t="s">
        <v>20</v>
      </c>
      <c r="Q20" s="130" t="s">
        <v>21</v>
      </c>
      <c r="R20" s="131" t="s">
        <v>28</v>
      </c>
      <c r="S20" s="132" t="s">
        <v>142</v>
      </c>
      <c r="T20" s="130" t="s">
        <v>143</v>
      </c>
      <c r="U20" s="130" t="s">
        <v>32</v>
      </c>
      <c r="V20" s="131" t="s">
        <v>142</v>
      </c>
    </row>
    <row r="21" spans="1:22" ht="13.5" thickTop="1">
      <c r="A21" s="175"/>
      <c r="C21" s="133" t="s">
        <v>0</v>
      </c>
      <c r="D21" s="80" t="str">
        <f>IF(data!$D3=1,"Ano","Ne")</f>
        <v>Ne</v>
      </c>
      <c r="E21" s="76">
        <f>Výpočet!$D10</f>
        <v>0</v>
      </c>
      <c r="F21" s="138">
        <f>Výpočet!$E10*Výpočet!$F10*Výpočet!$G10</f>
        <v>8750</v>
      </c>
      <c r="G21" s="76">
        <f>Výpočet!$H10</f>
        <v>49</v>
      </c>
      <c r="H21" s="76">
        <f>Výpočet!$I10</f>
        <v>97</v>
      </c>
      <c r="I21" s="76">
        <f>Výpočet!$J10</f>
        <v>74</v>
      </c>
      <c r="J21" s="76">
        <f>Výpočet!$K10</f>
        <v>10</v>
      </c>
      <c r="K21" s="76">
        <f>Výpočet!$L10</f>
        <v>9.3</v>
      </c>
      <c r="L21" s="76">
        <f>Výpočet!$M10</f>
        <v>14</v>
      </c>
      <c r="M21" s="76">
        <f>Výpočet!$N10</f>
        <v>70</v>
      </c>
      <c r="N21" s="76">
        <f>IF(data!$R$13=2,0,Výpočet!$O10)</f>
        <v>0</v>
      </c>
      <c r="O21" s="76">
        <f>Výpočet!$P10</f>
        <v>10</v>
      </c>
      <c r="P21" s="76">
        <f>Výpočet!$Q10</f>
        <v>19.3</v>
      </c>
      <c r="Q21" s="76">
        <f>Výpočet!$R10</f>
        <v>14</v>
      </c>
      <c r="R21" s="75">
        <f>Výpočet!$S10</f>
        <v>40</v>
      </c>
      <c r="S21" s="83">
        <f>Výpočet!$AS10</f>
        <v>3632.7856888888896</v>
      </c>
      <c r="T21" s="84">
        <f>Výpočet!$AT10</f>
        <v>74.13848344671203</v>
      </c>
      <c r="U21" s="85">
        <f>Výpočet!$AU10</f>
        <v>0.41517550730158737</v>
      </c>
      <c r="V21" s="91">
        <f>Výpočet!$AV10</f>
        <v>4375</v>
      </c>
    </row>
    <row r="22" spans="1:22" ht="12.75">
      <c r="A22" s="175"/>
      <c r="C22" s="134" t="s">
        <v>1</v>
      </c>
      <c r="D22" s="81" t="str">
        <f>IF(data!$D4=1,"Ano","Ne")</f>
        <v>Ne</v>
      </c>
      <c r="E22" s="77">
        <f>Výpočet!$D11</f>
        <v>0</v>
      </c>
      <c r="F22" s="139">
        <f>Výpočet!$E11*Výpočet!$F11*Výpočet!$G11</f>
        <v>8750</v>
      </c>
      <c r="G22" s="77">
        <f>Výpočet!$H11</f>
        <v>52</v>
      </c>
      <c r="H22" s="77">
        <f>Výpočet!$I11</f>
        <v>45</v>
      </c>
      <c r="I22" s="77">
        <f>Výpočet!$J11</f>
        <v>71.5</v>
      </c>
      <c r="J22" s="77">
        <f>Výpočet!$K11</f>
        <v>10</v>
      </c>
      <c r="K22" s="77">
        <f>Výpočet!$L11</f>
        <v>12.5</v>
      </c>
      <c r="L22" s="77">
        <f>Výpočet!$M11</f>
        <v>17</v>
      </c>
      <c r="M22" s="77">
        <f>Výpočet!$N11</f>
        <v>30</v>
      </c>
      <c r="N22" s="76">
        <f>IF(data!$R$13=2,0,Výpočet!$O11)</f>
        <v>0</v>
      </c>
      <c r="O22" s="76">
        <f>Výpočet!$P11</f>
        <v>10</v>
      </c>
      <c r="P22" s="76">
        <f>Výpočet!$Q11</f>
        <v>20</v>
      </c>
      <c r="Q22" s="76">
        <f>Výpočet!$R11</f>
        <v>17</v>
      </c>
      <c r="R22" s="75">
        <f>Výpočet!$S11</f>
        <v>0</v>
      </c>
      <c r="S22" s="86">
        <f>Výpočet!$AS11</f>
        <v>2124.9333333333334</v>
      </c>
      <c r="T22" s="84">
        <f>Výpočet!$AT11</f>
        <v>40.864102564102566</v>
      </c>
      <c r="U22" s="87">
        <f>Výpočet!$AU11</f>
        <v>0.24284952380952382</v>
      </c>
      <c r="V22" s="92">
        <f>Výpočet!$AV11</f>
        <v>4375</v>
      </c>
    </row>
    <row r="23" spans="1:22" ht="12.75">
      <c r="A23" s="175"/>
      <c r="C23" s="134" t="s">
        <v>2</v>
      </c>
      <c r="D23" s="81" t="str">
        <f>IF(data!$D5=1,"Ano","Ne")</f>
        <v>Ne</v>
      </c>
      <c r="E23" s="77">
        <f>Výpočet!$D12</f>
        <v>0</v>
      </c>
      <c r="F23" s="139">
        <f>Výpočet!$E12*Výpočet!$F12*Výpočet!$G12</f>
        <v>8750</v>
      </c>
      <c r="G23" s="77">
        <f>Výpočet!$H12</f>
        <v>45</v>
      </c>
      <c r="H23" s="77">
        <f>Výpočet!$I12</f>
        <v>0</v>
      </c>
      <c r="I23" s="77">
        <f>Výpočet!$J12</f>
        <v>75.3</v>
      </c>
      <c r="J23" s="77">
        <f>Výpočet!$K12</f>
        <v>10</v>
      </c>
      <c r="K23" s="77">
        <f>Výpočet!$L12</f>
        <v>10</v>
      </c>
      <c r="L23" s="77">
        <f>Výpočet!$M12</f>
        <v>17</v>
      </c>
      <c r="M23" s="77">
        <f>Výpočet!$N12</f>
        <v>30</v>
      </c>
      <c r="N23" s="76">
        <f>IF(data!$R$13=2,0,Výpočet!$O12)</f>
        <v>0</v>
      </c>
      <c r="O23" s="76">
        <f>Výpočet!$P12</f>
        <v>0</v>
      </c>
      <c r="P23" s="76">
        <f>Výpočet!$Q12</f>
        <v>0</v>
      </c>
      <c r="Q23" s="76">
        <f>Výpočet!$R12</f>
        <v>0</v>
      </c>
      <c r="R23" s="75">
        <f>Výpočet!$S12</f>
        <v>0</v>
      </c>
      <c r="S23" s="86">
        <f>Výpočet!$AS12</f>
        <v>1331.7000000000003</v>
      </c>
      <c r="T23" s="84">
        <f>Výpočet!$AT12</f>
        <v>29.59333333333334</v>
      </c>
      <c r="U23" s="87">
        <f>Výpočet!$AU12</f>
        <v>0.15219428571428575</v>
      </c>
      <c r="V23" s="92">
        <f>Výpočet!$AV12</f>
        <v>4375</v>
      </c>
    </row>
    <row r="24" spans="1:22" ht="12.75">
      <c r="A24" s="175"/>
      <c r="C24" s="134" t="s">
        <v>3</v>
      </c>
      <c r="D24" s="81" t="str">
        <f>IF(data!$D6=1,"Ano","Ne")</f>
        <v>Ne</v>
      </c>
      <c r="E24" s="77">
        <f>Výpočet!$D13</f>
        <v>0</v>
      </c>
      <c r="F24" s="139">
        <f>Výpočet!$E13*Výpočet!$F13*Výpočet!$G13</f>
        <v>0</v>
      </c>
      <c r="G24" s="77">
        <f>Výpočet!$H13</f>
        <v>0</v>
      </c>
      <c r="H24" s="77">
        <f>Výpočet!$I13</f>
        <v>0</v>
      </c>
      <c r="I24" s="77">
        <f>Výpočet!$J13</f>
        <v>0</v>
      </c>
      <c r="J24" s="77">
        <f>Výpočet!$K13</f>
        <v>0</v>
      </c>
      <c r="K24" s="77">
        <f>Výpočet!$L13</f>
        <v>0</v>
      </c>
      <c r="L24" s="77">
        <f>Výpočet!$M13</f>
        <v>0</v>
      </c>
      <c r="M24" s="77">
        <f>Výpočet!$N13</f>
        <v>0</v>
      </c>
      <c r="N24" s="76">
        <f>IF(data!$R$13=2,0,Výpočet!$O13)</f>
        <v>0</v>
      </c>
      <c r="O24" s="76">
        <f>Výpočet!$P13</f>
        <v>0</v>
      </c>
      <c r="P24" s="76">
        <f>Výpočet!$Q13</f>
        <v>0</v>
      </c>
      <c r="Q24" s="76">
        <f>Výpočet!$R13</f>
        <v>0</v>
      </c>
      <c r="R24" s="75">
        <f>Výpočet!$S13</f>
        <v>0</v>
      </c>
      <c r="S24" s="86">
        <f>Výpočet!$AS13</f>
        <v>0</v>
      </c>
      <c r="T24" s="84">
        <f>Výpočet!$AT13</f>
        <v>0</v>
      </c>
      <c r="U24" s="87">
        <f>Výpočet!$AU13</f>
        <v>0</v>
      </c>
      <c r="V24" s="92">
        <f>Výpočet!$AV13</f>
        <v>0</v>
      </c>
    </row>
    <row r="25" spans="1:22" ht="12.75">
      <c r="A25" s="175"/>
      <c r="C25" s="134" t="s">
        <v>4</v>
      </c>
      <c r="D25" s="81" t="str">
        <f>IF(data!$D7=1,"Ano","Ne")</f>
        <v>Ne</v>
      </c>
      <c r="E25" s="77">
        <f>Výpočet!$D14</f>
        <v>0</v>
      </c>
      <c r="F25" s="139">
        <f>Výpočet!$E14*Výpočet!$F14*Výpočet!$G14</f>
        <v>0</v>
      </c>
      <c r="G25" s="77">
        <f>Výpočet!$H14</f>
        <v>0</v>
      </c>
      <c r="H25" s="77">
        <f>Výpočet!$I14</f>
        <v>0</v>
      </c>
      <c r="I25" s="77">
        <f>Výpočet!$J14</f>
        <v>0</v>
      </c>
      <c r="J25" s="77">
        <f>Výpočet!$K14</f>
        <v>0</v>
      </c>
      <c r="K25" s="77">
        <f>Výpočet!$L14</f>
        <v>0</v>
      </c>
      <c r="L25" s="77">
        <f>Výpočet!$M14</f>
        <v>0</v>
      </c>
      <c r="M25" s="77">
        <f>Výpočet!$N14</f>
        <v>0</v>
      </c>
      <c r="N25" s="76">
        <f>IF(data!$R$13=2,0,Výpočet!$O14)</f>
        <v>0</v>
      </c>
      <c r="O25" s="76">
        <f>Výpočet!$P14</f>
        <v>0</v>
      </c>
      <c r="P25" s="76">
        <f>Výpočet!$Q14</f>
        <v>0</v>
      </c>
      <c r="Q25" s="76">
        <f>Výpočet!$R14</f>
        <v>0</v>
      </c>
      <c r="R25" s="75">
        <f>Výpočet!$S14</f>
        <v>0</v>
      </c>
      <c r="S25" s="86">
        <f>Výpočet!$AS14</f>
        <v>0</v>
      </c>
      <c r="T25" s="84">
        <f>Výpočet!$AT14</f>
        <v>0</v>
      </c>
      <c r="U25" s="87">
        <f>Výpočet!$AU14</f>
        <v>0</v>
      </c>
      <c r="V25" s="92">
        <f>Výpočet!$AV14</f>
        <v>0</v>
      </c>
    </row>
    <row r="26" spans="1:22" ht="12.75">
      <c r="A26" s="175"/>
      <c r="C26" s="134" t="s">
        <v>5</v>
      </c>
      <c r="D26" s="81" t="str">
        <f>IF(data!$D8=1,"Ano","Ne")</f>
        <v>Ne</v>
      </c>
      <c r="E26" s="77">
        <f>Výpočet!$D15</f>
        <v>0</v>
      </c>
      <c r="F26" s="139">
        <f>Výpočet!$E15*Výpočet!$F15*Výpočet!$G15</f>
        <v>0</v>
      </c>
      <c r="G26" s="77">
        <f>Výpočet!$H15</f>
        <v>0</v>
      </c>
      <c r="H26" s="77">
        <f>Výpočet!$I15</f>
        <v>0</v>
      </c>
      <c r="I26" s="77">
        <f>Výpočet!$J15</f>
        <v>0</v>
      </c>
      <c r="J26" s="77">
        <f>Výpočet!$K15</f>
        <v>0</v>
      </c>
      <c r="K26" s="77">
        <f>Výpočet!$L15</f>
        <v>0</v>
      </c>
      <c r="L26" s="77">
        <f>Výpočet!$M15</f>
        <v>0</v>
      </c>
      <c r="M26" s="77">
        <f>Výpočet!$N15</f>
        <v>0</v>
      </c>
      <c r="N26" s="76">
        <f>IF(data!$R$13=2,0,Výpočet!$O15)</f>
        <v>0</v>
      </c>
      <c r="O26" s="76">
        <f>Výpočet!$P15</f>
        <v>0</v>
      </c>
      <c r="P26" s="76">
        <f>Výpočet!$Q15</f>
        <v>0</v>
      </c>
      <c r="Q26" s="76">
        <f>Výpočet!$R15</f>
        <v>0</v>
      </c>
      <c r="R26" s="75">
        <f>Výpočet!$S15</f>
        <v>0</v>
      </c>
      <c r="S26" s="86">
        <f>Výpočet!$AS15</f>
        <v>0</v>
      </c>
      <c r="T26" s="84">
        <f>Výpočet!$AT15</f>
        <v>0</v>
      </c>
      <c r="U26" s="87">
        <f>Výpočet!$AU15</f>
        <v>0</v>
      </c>
      <c r="V26" s="92">
        <f>Výpočet!$AV15</f>
        <v>0</v>
      </c>
    </row>
    <row r="27" spans="1:22" ht="12.75">
      <c r="A27" s="175"/>
      <c r="C27" s="134" t="s">
        <v>6</v>
      </c>
      <c r="D27" s="81" t="str">
        <f>IF(data!$D9=1,"Ano","Ne")</f>
        <v>Ne</v>
      </c>
      <c r="E27" s="77">
        <f>Výpočet!$D16</f>
        <v>0</v>
      </c>
      <c r="F27" s="139">
        <f>Výpočet!$E16*Výpočet!$F16*Výpočet!$G16</f>
        <v>0</v>
      </c>
      <c r="G27" s="77">
        <f>Výpočet!$H16</f>
        <v>0</v>
      </c>
      <c r="H27" s="77">
        <f>Výpočet!$I16</f>
        <v>0</v>
      </c>
      <c r="I27" s="77">
        <f>Výpočet!$J16</f>
        <v>0</v>
      </c>
      <c r="J27" s="77">
        <f>Výpočet!$K16</f>
        <v>0</v>
      </c>
      <c r="K27" s="77">
        <f>Výpočet!$L16</f>
        <v>0</v>
      </c>
      <c r="L27" s="77">
        <f>Výpočet!$M16</f>
        <v>0</v>
      </c>
      <c r="M27" s="77">
        <f>Výpočet!$N16</f>
        <v>0</v>
      </c>
      <c r="N27" s="76">
        <f>IF(data!$R$13=2,0,Výpočet!$O16)</f>
        <v>0</v>
      </c>
      <c r="O27" s="76">
        <f>Výpočet!$P16</f>
        <v>0</v>
      </c>
      <c r="P27" s="76">
        <f>Výpočet!$Q16</f>
        <v>0</v>
      </c>
      <c r="Q27" s="76">
        <f>Výpočet!$R16</f>
        <v>0</v>
      </c>
      <c r="R27" s="75">
        <f>Výpočet!$S16</f>
        <v>0</v>
      </c>
      <c r="S27" s="86">
        <f>Výpočet!$AS16</f>
        <v>0</v>
      </c>
      <c r="T27" s="84">
        <f>Výpočet!$AT16</f>
        <v>0</v>
      </c>
      <c r="U27" s="87">
        <f>Výpočet!$AU16</f>
        <v>0</v>
      </c>
      <c r="V27" s="92">
        <f>Výpočet!$AV16</f>
        <v>0</v>
      </c>
    </row>
    <row r="28" spans="1:22" ht="12.75">
      <c r="A28" s="175"/>
      <c r="C28" s="134" t="s">
        <v>7</v>
      </c>
      <c r="D28" s="81" t="str">
        <f>IF(data!$D10=1,"Ano","Ne")</f>
        <v>Ne</v>
      </c>
      <c r="E28" s="77">
        <f>Výpočet!$D17</f>
        <v>0</v>
      </c>
      <c r="F28" s="139">
        <f>Výpočet!$E17*Výpočet!$F17*Výpočet!$G17</f>
        <v>0</v>
      </c>
      <c r="G28" s="77">
        <f>Výpočet!$H17</f>
        <v>0</v>
      </c>
      <c r="H28" s="77">
        <f>Výpočet!$I17</f>
        <v>0</v>
      </c>
      <c r="I28" s="77">
        <f>Výpočet!$J17</f>
        <v>0</v>
      </c>
      <c r="J28" s="77">
        <f>Výpočet!$K17</f>
        <v>0</v>
      </c>
      <c r="K28" s="77">
        <f>Výpočet!$L17</f>
        <v>0</v>
      </c>
      <c r="L28" s="77">
        <f>Výpočet!$M17</f>
        <v>0</v>
      </c>
      <c r="M28" s="77">
        <f>Výpočet!$N17</f>
        <v>0</v>
      </c>
      <c r="N28" s="76">
        <f>IF(data!$R$13=2,0,Výpočet!$O17)</f>
        <v>0</v>
      </c>
      <c r="O28" s="76">
        <f>Výpočet!$P17</f>
        <v>0</v>
      </c>
      <c r="P28" s="76">
        <f>Výpočet!$Q17</f>
        <v>0</v>
      </c>
      <c r="Q28" s="76">
        <f>Výpočet!$R17</f>
        <v>0</v>
      </c>
      <c r="R28" s="75">
        <f>Výpočet!$S17</f>
        <v>0</v>
      </c>
      <c r="S28" s="86">
        <f>Výpočet!$AS17</f>
        <v>0</v>
      </c>
      <c r="T28" s="84">
        <f>Výpočet!$AT17</f>
        <v>0</v>
      </c>
      <c r="U28" s="87">
        <f>Výpočet!$AU17</f>
        <v>0</v>
      </c>
      <c r="V28" s="92">
        <f>Výpočet!$AV17</f>
        <v>0</v>
      </c>
    </row>
    <row r="29" spans="1:22" ht="12.75">
      <c r="A29" s="175"/>
      <c r="C29" s="134" t="s">
        <v>8</v>
      </c>
      <c r="D29" s="81" t="str">
        <f>IF(data!$D11=1,"Ano","Ne")</f>
        <v>Ne</v>
      </c>
      <c r="E29" s="77">
        <f>Výpočet!$D18</f>
        <v>0</v>
      </c>
      <c r="F29" s="139">
        <f>Výpočet!$E18*Výpočet!$F18*Výpočet!$G18</f>
        <v>0</v>
      </c>
      <c r="G29" s="77">
        <f>Výpočet!$H18</f>
        <v>0</v>
      </c>
      <c r="H29" s="77">
        <f>Výpočet!$I18</f>
        <v>0</v>
      </c>
      <c r="I29" s="77">
        <f>Výpočet!$J18</f>
        <v>0</v>
      </c>
      <c r="J29" s="77">
        <f>Výpočet!$K18</f>
        <v>0</v>
      </c>
      <c r="K29" s="77">
        <f>Výpočet!$L18</f>
        <v>0</v>
      </c>
      <c r="L29" s="77">
        <f>Výpočet!$M18</f>
        <v>0</v>
      </c>
      <c r="M29" s="77">
        <f>Výpočet!$N18</f>
        <v>0</v>
      </c>
      <c r="N29" s="76">
        <f>IF(data!$R$13=2,0,Výpočet!$O18)</f>
        <v>0</v>
      </c>
      <c r="O29" s="76">
        <f>Výpočet!$P18</f>
        <v>0</v>
      </c>
      <c r="P29" s="76">
        <f>Výpočet!$Q18</f>
        <v>0</v>
      </c>
      <c r="Q29" s="76">
        <f>Výpočet!$R18</f>
        <v>0</v>
      </c>
      <c r="R29" s="75">
        <f>Výpočet!$S18</f>
        <v>0</v>
      </c>
      <c r="S29" s="86">
        <f>Výpočet!$AS18</f>
        <v>0</v>
      </c>
      <c r="T29" s="84">
        <f>Výpočet!$AT18</f>
        <v>0</v>
      </c>
      <c r="U29" s="87">
        <f>Výpočet!$AU18</f>
        <v>0</v>
      </c>
      <c r="V29" s="92">
        <f>Výpočet!$AV18</f>
        <v>0</v>
      </c>
    </row>
    <row r="30" spans="1:22" ht="12.75">
      <c r="A30" s="175"/>
      <c r="C30" s="134" t="s">
        <v>9</v>
      </c>
      <c r="D30" s="81" t="str">
        <f>IF(data!$D12=1,"Ano","Ne")</f>
        <v>Ne</v>
      </c>
      <c r="E30" s="77">
        <f>Výpočet!$D19</f>
        <v>0</v>
      </c>
      <c r="F30" s="139">
        <f>Výpočet!$E19*Výpočet!$F19*Výpočet!$G19</f>
        <v>0</v>
      </c>
      <c r="G30" s="77">
        <f>Výpočet!$H19</f>
        <v>0</v>
      </c>
      <c r="H30" s="77">
        <f>Výpočet!$I19</f>
        <v>0</v>
      </c>
      <c r="I30" s="77">
        <f>Výpočet!$J19</f>
        <v>0</v>
      </c>
      <c r="J30" s="77">
        <f>Výpočet!$K19</f>
        <v>0</v>
      </c>
      <c r="K30" s="77">
        <f>Výpočet!$L19</f>
        <v>0</v>
      </c>
      <c r="L30" s="77">
        <f>Výpočet!$M19</f>
        <v>0</v>
      </c>
      <c r="M30" s="77">
        <f>Výpočet!$N19</f>
        <v>0</v>
      </c>
      <c r="N30" s="76">
        <f>IF(data!$R$13=2,0,Výpočet!$O19)</f>
        <v>0</v>
      </c>
      <c r="O30" s="76">
        <f>Výpočet!$P19</f>
        <v>0</v>
      </c>
      <c r="P30" s="76">
        <f>Výpočet!$Q19</f>
        <v>0</v>
      </c>
      <c r="Q30" s="76">
        <f>Výpočet!$R19</f>
        <v>0</v>
      </c>
      <c r="R30" s="75">
        <f>Výpočet!$S19</f>
        <v>0</v>
      </c>
      <c r="S30" s="86">
        <f>Výpočet!$AS19</f>
        <v>0</v>
      </c>
      <c r="T30" s="84">
        <f>Výpočet!$AT19</f>
        <v>0</v>
      </c>
      <c r="U30" s="87">
        <f>Výpočet!$AU19</f>
        <v>0</v>
      </c>
      <c r="V30" s="92">
        <f>Výpočet!$AV19</f>
        <v>0</v>
      </c>
    </row>
    <row r="31" spans="1:22" ht="12.75">
      <c r="A31" s="175"/>
      <c r="C31" s="134" t="s">
        <v>10</v>
      </c>
      <c r="D31" s="81" t="str">
        <f>IF(data!$D13=1,"Ano","Ne")</f>
        <v>Ne</v>
      </c>
      <c r="E31" s="77">
        <f>Výpočet!$D20</f>
        <v>0</v>
      </c>
      <c r="F31" s="139">
        <f>Výpočet!$E20*Výpočet!$F20*Výpočet!$G20</f>
        <v>0</v>
      </c>
      <c r="G31" s="77">
        <f>Výpočet!$H20</f>
        <v>0</v>
      </c>
      <c r="H31" s="77">
        <f>Výpočet!$I20</f>
        <v>0</v>
      </c>
      <c r="I31" s="77">
        <f>Výpočet!$J20</f>
        <v>0</v>
      </c>
      <c r="J31" s="77">
        <f>Výpočet!$K20</f>
        <v>0</v>
      </c>
      <c r="K31" s="77">
        <f>Výpočet!$L20</f>
        <v>0</v>
      </c>
      <c r="L31" s="77">
        <f>Výpočet!$M20</f>
        <v>0</v>
      </c>
      <c r="M31" s="77">
        <f>Výpočet!$N20</f>
        <v>0</v>
      </c>
      <c r="N31" s="76">
        <f>IF(data!$R$13=2,0,Výpočet!$O20)</f>
        <v>0</v>
      </c>
      <c r="O31" s="76">
        <f>Výpočet!$P20</f>
        <v>0</v>
      </c>
      <c r="P31" s="76">
        <f>Výpočet!$Q20</f>
        <v>0</v>
      </c>
      <c r="Q31" s="76">
        <f>Výpočet!$R20</f>
        <v>0</v>
      </c>
      <c r="R31" s="75">
        <f>Výpočet!$S20</f>
        <v>0</v>
      </c>
      <c r="S31" s="86">
        <f>Výpočet!$AS20</f>
        <v>0</v>
      </c>
      <c r="T31" s="84">
        <f>Výpočet!$AT20</f>
        <v>0</v>
      </c>
      <c r="U31" s="87">
        <f>Výpočet!$AU20</f>
        <v>0</v>
      </c>
      <c r="V31" s="92">
        <f>Výpočet!$AV20</f>
        <v>0</v>
      </c>
    </row>
    <row r="32" spans="1:22" ht="12.75">
      <c r="A32" s="175"/>
      <c r="C32" s="134" t="s">
        <v>11</v>
      </c>
      <c r="D32" s="81" t="str">
        <f>IF(data!$D14=1,"Ano","Ne")</f>
        <v>Ne</v>
      </c>
      <c r="E32" s="77">
        <f>Výpočet!$D21</f>
        <v>0</v>
      </c>
      <c r="F32" s="139">
        <f>Výpočet!$E21*Výpočet!$F21*Výpočet!$G21</f>
        <v>0</v>
      </c>
      <c r="G32" s="77">
        <f>Výpočet!$H21</f>
        <v>0</v>
      </c>
      <c r="H32" s="77">
        <f>Výpočet!$I21</f>
        <v>0</v>
      </c>
      <c r="I32" s="77">
        <f>Výpočet!$J21</f>
        <v>0</v>
      </c>
      <c r="J32" s="77">
        <f>Výpočet!$K21</f>
        <v>0</v>
      </c>
      <c r="K32" s="77">
        <f>Výpočet!$L21</f>
        <v>0</v>
      </c>
      <c r="L32" s="77">
        <f>Výpočet!$M21</f>
        <v>0</v>
      </c>
      <c r="M32" s="77">
        <f>Výpočet!$N21</f>
        <v>0</v>
      </c>
      <c r="N32" s="76">
        <f>IF(data!$R$13=2,0,Výpočet!$O21)</f>
        <v>0</v>
      </c>
      <c r="O32" s="76">
        <f>Výpočet!$P21</f>
        <v>0</v>
      </c>
      <c r="P32" s="76">
        <f>Výpočet!$Q21</f>
        <v>0</v>
      </c>
      <c r="Q32" s="76">
        <f>Výpočet!$R21</f>
        <v>0</v>
      </c>
      <c r="R32" s="75">
        <f>Výpočet!$S21</f>
        <v>0</v>
      </c>
      <c r="S32" s="86">
        <f>Výpočet!$AS21</f>
        <v>0</v>
      </c>
      <c r="T32" s="84">
        <f>Výpočet!$AT21</f>
        <v>0</v>
      </c>
      <c r="U32" s="87">
        <f>Výpočet!$AU21</f>
        <v>0</v>
      </c>
      <c r="V32" s="92">
        <f>Výpočet!$AV21</f>
        <v>0</v>
      </c>
    </row>
    <row r="33" spans="1:22" ht="12.75">
      <c r="A33" s="175"/>
      <c r="C33" s="134" t="s">
        <v>12</v>
      </c>
      <c r="D33" s="81" t="str">
        <f>IF(data!$D15=1,"Ano","Ne")</f>
        <v>Ne</v>
      </c>
      <c r="E33" s="77">
        <f>Výpočet!$D22</f>
        <v>0</v>
      </c>
      <c r="F33" s="139">
        <f>Výpočet!$E22*Výpočet!$F22*Výpočet!$G22</f>
        <v>0</v>
      </c>
      <c r="G33" s="77">
        <f>Výpočet!$H22</f>
        <v>0</v>
      </c>
      <c r="H33" s="77">
        <f>Výpočet!$I22</f>
        <v>0</v>
      </c>
      <c r="I33" s="77">
        <f>Výpočet!$J22</f>
        <v>0</v>
      </c>
      <c r="J33" s="77">
        <f>Výpočet!$K22</f>
        <v>0</v>
      </c>
      <c r="K33" s="77">
        <f>Výpočet!$L22</f>
        <v>0</v>
      </c>
      <c r="L33" s="77">
        <f>Výpočet!$M22</f>
        <v>0</v>
      </c>
      <c r="M33" s="77">
        <f>Výpočet!$N22</f>
        <v>0</v>
      </c>
      <c r="N33" s="76">
        <f>IF(data!$R$13=2,0,Výpočet!$O22)</f>
        <v>0</v>
      </c>
      <c r="O33" s="76">
        <f>Výpočet!$P22</f>
        <v>0</v>
      </c>
      <c r="P33" s="76">
        <f>Výpočet!$Q22</f>
        <v>0</v>
      </c>
      <c r="Q33" s="76">
        <f>Výpočet!$R22</f>
        <v>0</v>
      </c>
      <c r="R33" s="75">
        <f>Výpočet!$S22</f>
        <v>0</v>
      </c>
      <c r="S33" s="86">
        <f>Výpočet!$AS22</f>
        <v>0</v>
      </c>
      <c r="T33" s="84">
        <f>Výpočet!$AT22</f>
        <v>0</v>
      </c>
      <c r="U33" s="87">
        <f>Výpočet!$AU22</f>
        <v>0</v>
      </c>
      <c r="V33" s="92">
        <f>Výpočet!$AV22</f>
        <v>0</v>
      </c>
    </row>
    <row r="34" spans="1:22" ht="12.75">
      <c r="A34" s="175"/>
      <c r="C34" s="134" t="s">
        <v>13</v>
      </c>
      <c r="D34" s="81" t="str">
        <f>IF(data!$D16=1,"Ano","Ne")</f>
        <v>Ne</v>
      </c>
      <c r="E34" s="77">
        <f>Výpočet!$D23</f>
        <v>0</v>
      </c>
      <c r="F34" s="139">
        <f>Výpočet!$E23*Výpočet!$F23*Výpočet!$G23</f>
        <v>0</v>
      </c>
      <c r="G34" s="77">
        <f>Výpočet!$H23</f>
        <v>0</v>
      </c>
      <c r="H34" s="77">
        <f>Výpočet!$I23</f>
        <v>0</v>
      </c>
      <c r="I34" s="77">
        <f>Výpočet!$J23</f>
        <v>0</v>
      </c>
      <c r="J34" s="77">
        <f>Výpočet!$K23</f>
        <v>0</v>
      </c>
      <c r="K34" s="77">
        <f>Výpočet!$L23</f>
        <v>0</v>
      </c>
      <c r="L34" s="77">
        <f>Výpočet!$M23</f>
        <v>0</v>
      </c>
      <c r="M34" s="77">
        <f>Výpočet!$N23</f>
        <v>0</v>
      </c>
      <c r="N34" s="76">
        <f>IF(data!$R$13=2,0,Výpočet!$O23)</f>
        <v>0</v>
      </c>
      <c r="O34" s="76">
        <f>Výpočet!$P23</f>
        <v>0</v>
      </c>
      <c r="P34" s="76">
        <f>Výpočet!$Q23</f>
        <v>0</v>
      </c>
      <c r="Q34" s="76">
        <f>Výpočet!$R23</f>
        <v>0</v>
      </c>
      <c r="R34" s="75">
        <f>Výpočet!$S23</f>
        <v>0</v>
      </c>
      <c r="S34" s="86">
        <f>Výpočet!$AS23</f>
        <v>0</v>
      </c>
      <c r="T34" s="84">
        <f>Výpočet!$AT23</f>
        <v>0</v>
      </c>
      <c r="U34" s="87">
        <f>Výpočet!$AU23</f>
        <v>0</v>
      </c>
      <c r="V34" s="92">
        <f>Výpočet!$AV23</f>
        <v>0</v>
      </c>
    </row>
    <row r="35" spans="1:22" ht="12.75">
      <c r="A35" s="175"/>
      <c r="C35" s="134" t="s">
        <v>14</v>
      </c>
      <c r="D35" s="81" t="str">
        <f>IF(data!$D17=1,"Ano","Ne")</f>
        <v>Ne</v>
      </c>
      <c r="E35" s="77">
        <f>Výpočet!$D24</f>
        <v>0</v>
      </c>
      <c r="F35" s="139">
        <f>Výpočet!$E24*Výpočet!$F24*Výpočet!$G24</f>
        <v>0</v>
      </c>
      <c r="G35" s="77">
        <f>Výpočet!$H24</f>
        <v>0</v>
      </c>
      <c r="H35" s="77">
        <f>Výpočet!$I24</f>
        <v>0</v>
      </c>
      <c r="I35" s="77">
        <f>Výpočet!$J24</f>
        <v>0</v>
      </c>
      <c r="J35" s="77">
        <f>Výpočet!$K24</f>
        <v>0</v>
      </c>
      <c r="K35" s="77">
        <f>Výpočet!$L24</f>
        <v>0</v>
      </c>
      <c r="L35" s="77">
        <f>Výpočet!$M24</f>
        <v>0</v>
      </c>
      <c r="M35" s="77">
        <f>Výpočet!$N24</f>
        <v>0</v>
      </c>
      <c r="N35" s="76">
        <f>IF(data!$R$13=2,0,Výpočet!$O24)</f>
        <v>0</v>
      </c>
      <c r="O35" s="76">
        <f>Výpočet!$P24</f>
        <v>0</v>
      </c>
      <c r="P35" s="76">
        <f>Výpočet!$Q24</f>
        <v>0</v>
      </c>
      <c r="Q35" s="76">
        <f>Výpočet!$R24</f>
        <v>0</v>
      </c>
      <c r="R35" s="75">
        <f>Výpočet!$S24</f>
        <v>0</v>
      </c>
      <c r="S35" s="86">
        <f>Výpočet!$AS24</f>
        <v>0</v>
      </c>
      <c r="T35" s="84">
        <f>Výpočet!$AT24</f>
        <v>0</v>
      </c>
      <c r="U35" s="87">
        <f>Výpočet!$AU24</f>
        <v>0</v>
      </c>
      <c r="V35" s="92">
        <f>Výpočet!$AV24</f>
        <v>0</v>
      </c>
    </row>
    <row r="36" spans="1:22" ht="12.75">
      <c r="A36" s="175"/>
      <c r="C36" s="134" t="s">
        <v>15</v>
      </c>
      <c r="D36" s="81" t="str">
        <f>IF(data!$D18=1,"Ano","Ne")</f>
        <v>Ne</v>
      </c>
      <c r="E36" s="77">
        <f>Výpočet!$D25</f>
        <v>0</v>
      </c>
      <c r="F36" s="139">
        <f>Výpočet!$E25*Výpočet!$F25*Výpočet!$G25</f>
        <v>0</v>
      </c>
      <c r="G36" s="77">
        <f>Výpočet!$H25</f>
        <v>0</v>
      </c>
      <c r="H36" s="77">
        <f>Výpočet!$I25</f>
        <v>0</v>
      </c>
      <c r="I36" s="77">
        <f>Výpočet!$J25</f>
        <v>0</v>
      </c>
      <c r="J36" s="77">
        <f>Výpočet!$K25</f>
        <v>0</v>
      </c>
      <c r="K36" s="77">
        <f>Výpočet!$L25</f>
        <v>0</v>
      </c>
      <c r="L36" s="77">
        <f>Výpočet!$M25</f>
        <v>0</v>
      </c>
      <c r="M36" s="77">
        <f>Výpočet!$N25</f>
        <v>0</v>
      </c>
      <c r="N36" s="76">
        <f>IF(data!$R$13=2,0,Výpočet!$O25)</f>
        <v>0</v>
      </c>
      <c r="O36" s="76">
        <f>Výpočet!$P25</f>
        <v>0</v>
      </c>
      <c r="P36" s="76">
        <f>Výpočet!$Q25</f>
        <v>0</v>
      </c>
      <c r="Q36" s="76">
        <f>Výpočet!$R25</f>
        <v>0</v>
      </c>
      <c r="R36" s="75">
        <f>Výpočet!$S25</f>
        <v>0</v>
      </c>
      <c r="S36" s="86">
        <f>Výpočet!$AS25</f>
        <v>0</v>
      </c>
      <c r="T36" s="84">
        <f>Výpočet!$AT25</f>
        <v>0</v>
      </c>
      <c r="U36" s="87">
        <f>Výpočet!$AU25</f>
        <v>0</v>
      </c>
      <c r="V36" s="92">
        <f>Výpočet!$AV25</f>
        <v>0</v>
      </c>
    </row>
    <row r="37" spans="1:22" ht="12.75">
      <c r="A37" s="175"/>
      <c r="C37" s="134" t="s">
        <v>16</v>
      </c>
      <c r="D37" s="81" t="str">
        <f>IF(data!$D19=1,"Ano","Ne")</f>
        <v>Ne</v>
      </c>
      <c r="E37" s="77">
        <f>Výpočet!$D26</f>
        <v>0</v>
      </c>
      <c r="F37" s="139">
        <f>Výpočet!$E26*Výpočet!$F26*Výpočet!$G26</f>
        <v>0</v>
      </c>
      <c r="G37" s="77">
        <f>Výpočet!$H26</f>
        <v>0</v>
      </c>
      <c r="H37" s="77">
        <f>Výpočet!$I26</f>
        <v>0</v>
      </c>
      <c r="I37" s="77">
        <f>Výpočet!$J26</f>
        <v>0</v>
      </c>
      <c r="J37" s="77">
        <f>Výpočet!$K26</f>
        <v>0</v>
      </c>
      <c r="K37" s="77">
        <f>Výpočet!$L26</f>
        <v>0</v>
      </c>
      <c r="L37" s="77">
        <f>Výpočet!$M26</f>
        <v>0</v>
      </c>
      <c r="M37" s="77">
        <f>Výpočet!$N26</f>
        <v>0</v>
      </c>
      <c r="N37" s="76">
        <f>IF(data!$R$13=2,0,Výpočet!$O26)</f>
        <v>0</v>
      </c>
      <c r="O37" s="76">
        <f>Výpočet!$P26</f>
        <v>0</v>
      </c>
      <c r="P37" s="76">
        <f>Výpočet!$Q26</f>
        <v>0</v>
      </c>
      <c r="Q37" s="76">
        <f>Výpočet!$R26</f>
        <v>0</v>
      </c>
      <c r="R37" s="75">
        <f>Výpočet!$S26</f>
        <v>0</v>
      </c>
      <c r="S37" s="86">
        <f>Výpočet!$AS26</f>
        <v>0</v>
      </c>
      <c r="T37" s="84">
        <f>Výpočet!$AT26</f>
        <v>0</v>
      </c>
      <c r="U37" s="87">
        <f>Výpočet!$AU26</f>
        <v>0</v>
      </c>
      <c r="V37" s="92">
        <f>Výpočet!$AV26</f>
        <v>0</v>
      </c>
    </row>
    <row r="38" spans="1:22" ht="12.75">
      <c r="A38" s="175"/>
      <c r="C38" s="134" t="s">
        <v>17</v>
      </c>
      <c r="D38" s="81" t="str">
        <f>IF(data!$D20=1,"Ano","Ne")</f>
        <v>Ne</v>
      </c>
      <c r="E38" s="77">
        <f>Výpočet!$D27</f>
        <v>0</v>
      </c>
      <c r="F38" s="139">
        <f>Výpočet!$E27*Výpočet!$F27*Výpočet!$G27</f>
        <v>0</v>
      </c>
      <c r="G38" s="77">
        <f>Výpočet!$H27</f>
        <v>0</v>
      </c>
      <c r="H38" s="77">
        <f>Výpočet!$I27</f>
        <v>0</v>
      </c>
      <c r="I38" s="77">
        <f>Výpočet!$J27</f>
        <v>0</v>
      </c>
      <c r="J38" s="77">
        <f>Výpočet!$K27</f>
        <v>0</v>
      </c>
      <c r="K38" s="77">
        <f>Výpočet!$L27</f>
        <v>0</v>
      </c>
      <c r="L38" s="77">
        <f>Výpočet!$M27</f>
        <v>0</v>
      </c>
      <c r="M38" s="77">
        <f>Výpočet!$N27</f>
        <v>0</v>
      </c>
      <c r="N38" s="76">
        <f>IF(data!$R$13=2,0,Výpočet!$O27)</f>
        <v>0</v>
      </c>
      <c r="O38" s="76">
        <f>Výpočet!$P27</f>
        <v>0</v>
      </c>
      <c r="P38" s="76">
        <f>Výpočet!$Q27</f>
        <v>0</v>
      </c>
      <c r="Q38" s="76">
        <f>Výpočet!$R27</f>
        <v>0</v>
      </c>
      <c r="R38" s="75">
        <f>Výpočet!$S27</f>
        <v>0</v>
      </c>
      <c r="S38" s="86">
        <f>Výpočet!$AS27</f>
        <v>0</v>
      </c>
      <c r="T38" s="84">
        <f>Výpočet!$AT27</f>
        <v>0</v>
      </c>
      <c r="U38" s="87">
        <f>Výpočet!$AU27</f>
        <v>0</v>
      </c>
      <c r="V38" s="92">
        <f>Výpočet!$AV27</f>
        <v>0</v>
      </c>
    </row>
    <row r="39" spans="1:22" ht="12.75">
      <c r="A39" s="175"/>
      <c r="C39" s="134" t="s">
        <v>18</v>
      </c>
      <c r="D39" s="81" t="str">
        <f>IF(data!$D21=1,"Ano","Ne")</f>
        <v>Ne</v>
      </c>
      <c r="E39" s="77">
        <f>Výpočet!$D28</f>
        <v>0</v>
      </c>
      <c r="F39" s="139">
        <f>Výpočet!$E28*Výpočet!$F28*Výpočet!$G28</f>
        <v>0</v>
      </c>
      <c r="G39" s="77">
        <f>Výpočet!$H28</f>
        <v>0</v>
      </c>
      <c r="H39" s="77">
        <f>Výpočet!$I28</f>
        <v>0</v>
      </c>
      <c r="I39" s="77">
        <f>Výpočet!$J28</f>
        <v>0</v>
      </c>
      <c r="J39" s="77">
        <f>Výpočet!$K28</f>
        <v>0</v>
      </c>
      <c r="K39" s="77">
        <f>Výpočet!$L28</f>
        <v>0</v>
      </c>
      <c r="L39" s="77">
        <f>Výpočet!$M28</f>
        <v>0</v>
      </c>
      <c r="M39" s="77">
        <f>Výpočet!$N28</f>
        <v>0</v>
      </c>
      <c r="N39" s="76">
        <f>IF(data!$R$13=2,0,Výpočet!$O28)</f>
        <v>0</v>
      </c>
      <c r="O39" s="76">
        <f>Výpočet!$P28</f>
        <v>0</v>
      </c>
      <c r="P39" s="76">
        <f>Výpočet!$Q28</f>
        <v>0</v>
      </c>
      <c r="Q39" s="76">
        <f>Výpočet!$R28</f>
        <v>0</v>
      </c>
      <c r="R39" s="75">
        <f>Výpočet!$S28</f>
        <v>0</v>
      </c>
      <c r="S39" s="86">
        <f>Výpočet!$AS28</f>
        <v>0</v>
      </c>
      <c r="T39" s="84">
        <f>Výpočet!$AT28</f>
        <v>0</v>
      </c>
      <c r="U39" s="87">
        <f>Výpočet!$AU28</f>
        <v>0</v>
      </c>
      <c r="V39" s="92">
        <f>Výpočet!$AV28</f>
        <v>0</v>
      </c>
    </row>
    <row r="40" spans="1:22" ht="13.5" thickBot="1">
      <c r="A40" s="175"/>
      <c r="C40" s="135" t="s">
        <v>19</v>
      </c>
      <c r="D40" s="82" t="str">
        <f>IF(data!$D22=1,"Ano","Ne")</f>
        <v>Ne</v>
      </c>
      <c r="E40" s="79">
        <f>Výpočet!$D29</f>
        <v>0</v>
      </c>
      <c r="F40" s="140">
        <f>Výpočet!$E29*Výpočet!$F29*Výpočet!$G29</f>
        <v>0</v>
      </c>
      <c r="G40" s="79">
        <f>Výpočet!$H29</f>
        <v>0</v>
      </c>
      <c r="H40" s="79">
        <f>Výpočet!$I29</f>
        <v>0</v>
      </c>
      <c r="I40" s="79">
        <f>Výpočet!$J29</f>
        <v>0</v>
      </c>
      <c r="J40" s="79">
        <f>Výpočet!$K29</f>
        <v>0</v>
      </c>
      <c r="K40" s="79">
        <f>Výpočet!$L29</f>
        <v>0</v>
      </c>
      <c r="L40" s="79">
        <f>Výpočet!$M29</f>
        <v>0</v>
      </c>
      <c r="M40" s="79">
        <f>Výpočet!$N29</f>
        <v>0</v>
      </c>
      <c r="N40" s="79">
        <f>IF(data!$R$13=2,0,Výpočet!$O29)</f>
        <v>0</v>
      </c>
      <c r="O40" s="79">
        <f>Výpočet!$P29</f>
        <v>0</v>
      </c>
      <c r="P40" s="79">
        <f>Výpočet!$Q29</f>
        <v>0</v>
      </c>
      <c r="Q40" s="79">
        <f>Výpočet!$R29</f>
        <v>0</v>
      </c>
      <c r="R40" s="78">
        <f>Výpočet!$S29</f>
        <v>0</v>
      </c>
      <c r="S40" s="88">
        <f>Výpočet!$AS29</f>
        <v>0</v>
      </c>
      <c r="T40" s="84">
        <f>Výpočet!$AT29</f>
        <v>0</v>
      </c>
      <c r="U40" s="89">
        <f>Výpočet!$AU29</f>
        <v>0</v>
      </c>
      <c r="V40" s="93">
        <f>Výpočet!$AV29</f>
        <v>0</v>
      </c>
    </row>
    <row r="41" spans="1:22" ht="17.25" customHeight="1" thickBot="1">
      <c r="A41" s="175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281" t="s">
        <v>145</v>
      </c>
      <c r="R41" s="282"/>
      <c r="S41" s="136">
        <f>SUM(S21:S40)</f>
        <v>7089.419022222224</v>
      </c>
      <c r="T41" s="279" t="s">
        <v>144</v>
      </c>
      <c r="U41" s="280"/>
      <c r="V41" s="137">
        <f>SUM(V21:V40)</f>
        <v>13125</v>
      </c>
    </row>
    <row r="42" spans="1:22" ht="12.75">
      <c r="A42" s="175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ht="12.75">
      <c r="A43" s="175"/>
    </row>
    <row r="44" s="175" customFormat="1" ht="12.75"/>
    <row r="45" s="175" customFormat="1" ht="12.75"/>
    <row r="46" s="175" customFormat="1" ht="12.75"/>
    <row r="47" s="175" customFormat="1" ht="12.75"/>
    <row r="48" s="175" customFormat="1" ht="12.75"/>
    <row r="49" s="175" customFormat="1" ht="12.75"/>
    <row r="50" s="175" customFormat="1" ht="12.75"/>
    <row r="51" s="175" customFormat="1" ht="12.75"/>
    <row r="52" s="175" customFormat="1" ht="12.75"/>
    <row r="53" s="175" customFormat="1" ht="12.75"/>
    <row r="54" s="175" customFormat="1" ht="12.75"/>
    <row r="55" s="175" customFormat="1" ht="12.75"/>
    <row r="56" s="175" customFormat="1" ht="12.75"/>
    <row r="57" s="175" customFormat="1" ht="12.75"/>
    <row r="58" s="175" customFormat="1" ht="12.75"/>
    <row r="59" s="175" customFormat="1" ht="12.75"/>
    <row r="60" s="175" customFormat="1" ht="12.75"/>
    <row r="61" s="175" customFormat="1" ht="12.75"/>
    <row r="62" s="175" customFormat="1" ht="12.75"/>
    <row r="63" s="175" customFormat="1" ht="12.75"/>
    <row r="64" s="175" customFormat="1" ht="12.75"/>
    <row r="65" s="175" customFormat="1" ht="12.75"/>
    <row r="66" s="175" customFormat="1" ht="12.75"/>
    <row r="67" s="175" customFormat="1" ht="12.75"/>
    <row r="68" s="175" customFormat="1" ht="12.75"/>
    <row r="69" s="175" customFormat="1" ht="12.75"/>
    <row r="70" s="175" customFormat="1" ht="12.75"/>
    <row r="71" s="175" customFormat="1" ht="12.75"/>
    <row r="72" s="175" customFormat="1" ht="12.75"/>
    <row r="73" s="175" customFormat="1" ht="12.75"/>
    <row r="74" s="175" customFormat="1" ht="12.75"/>
    <row r="75" s="175" customFormat="1" ht="12.75"/>
    <row r="76" s="175" customFormat="1" ht="12.75"/>
    <row r="77" s="175" customFormat="1" ht="12.75"/>
    <row r="78" s="175" customFormat="1" ht="12.75"/>
    <row r="79" s="175" customFormat="1" ht="12.75"/>
    <row r="80" s="175" customFormat="1" ht="12.75"/>
    <row r="81" s="175" customFormat="1" ht="12.75"/>
    <row r="82" s="175" customFormat="1" ht="12.75"/>
    <row r="83" s="175" customFormat="1" ht="12.75"/>
    <row r="84" s="175" customFormat="1" ht="12.75"/>
    <row r="85" s="175" customFormat="1" ht="12.75"/>
    <row r="86" s="175" customFormat="1" ht="12.75"/>
    <row r="87" s="175" customFormat="1" ht="12.75"/>
    <row r="88" s="175" customFormat="1" ht="12.75"/>
    <row r="89" s="175" customFormat="1" ht="12.75"/>
    <row r="90" s="175" customFormat="1" ht="12.75"/>
    <row r="91" s="175" customFormat="1" ht="12.75"/>
    <row r="92" s="175" customFormat="1" ht="12.75"/>
    <row r="93" s="175" customFormat="1" ht="12.75"/>
    <row r="94" s="175" customFormat="1" ht="12.75"/>
    <row r="95" s="175" customFormat="1" ht="12.75"/>
    <row r="96" s="175" customFormat="1" ht="12.75"/>
    <row r="97" s="175" customFormat="1" ht="12.75"/>
    <row r="98" s="175" customFormat="1" ht="12.75"/>
    <row r="99" s="175" customFormat="1" ht="12.75"/>
    <row r="100" s="175" customFormat="1" ht="12.75"/>
    <row r="101" s="175" customFormat="1" ht="12.75"/>
    <row r="102" s="175" customFormat="1" ht="12.75"/>
    <row r="103" s="175" customFormat="1" ht="12.75"/>
    <row r="104" s="175" customFormat="1" ht="12.75"/>
    <row r="105" s="175" customFormat="1" ht="12.75"/>
    <row r="106" s="175" customFormat="1" ht="12.75"/>
    <row r="107" s="175" customFormat="1" ht="12.75"/>
    <row r="108" s="175" customFormat="1" ht="12.75"/>
    <row r="109" s="175" customFormat="1" ht="12.75"/>
    <row r="110" s="175" customFormat="1" ht="12.75"/>
    <row r="111" s="175" customFormat="1" ht="12.75"/>
    <row r="112" s="175" customFormat="1" ht="12.75"/>
    <row r="113" s="175" customFormat="1" ht="12.75"/>
    <row r="114" s="175" customFormat="1" ht="12.75"/>
    <row r="115" s="175" customFormat="1" ht="12.75"/>
    <row r="116" s="175" customFormat="1" ht="12.75"/>
    <row r="117" s="175" customFormat="1" ht="12.75"/>
    <row r="118" s="175" customFormat="1" ht="12.75"/>
    <row r="119" s="175" customFormat="1" ht="12.75"/>
    <row r="120" s="175" customFormat="1" ht="12.75"/>
    <row r="121" s="175" customFormat="1" ht="12.75"/>
    <row r="122" s="175" customFormat="1" ht="12.75"/>
    <row r="123" s="175" customFormat="1" ht="12.75"/>
    <row r="124" s="175" customFormat="1" ht="12.75"/>
    <row r="125" s="175" customFormat="1" ht="12.75"/>
    <row r="126" s="175" customFormat="1" ht="12.75"/>
    <row r="127" s="175" customFormat="1" ht="12.75"/>
    <row r="128" s="175" customFormat="1" ht="12.75"/>
    <row r="129" s="175" customFormat="1" ht="12.75"/>
    <row r="130" s="175" customFormat="1" ht="12.75"/>
    <row r="131" s="175" customFormat="1" ht="12.75"/>
    <row r="132" s="175" customFormat="1" ht="12.75"/>
    <row r="133" s="175" customFormat="1" ht="12.75"/>
    <row r="134" s="175" customFormat="1" ht="12.75"/>
    <row r="135" s="175" customFormat="1" ht="12.75"/>
    <row r="136" s="175" customFormat="1" ht="12.75"/>
    <row r="137" s="175" customFormat="1" ht="12.75"/>
    <row r="138" s="175" customFormat="1" ht="12.75"/>
    <row r="139" s="175" customFormat="1" ht="12.75"/>
    <row r="140" s="175" customFormat="1" ht="12.75"/>
    <row r="141" s="175" customFormat="1" ht="12.75"/>
    <row r="142" s="175" customFormat="1" ht="12.75"/>
    <row r="143" s="175" customFormat="1" ht="12.75"/>
    <row r="144" s="175" customFormat="1" ht="12.75"/>
    <row r="145" s="175" customFormat="1" ht="12.75"/>
    <row r="146" s="175" customFormat="1" ht="12.75"/>
    <row r="147" s="175" customFormat="1" ht="12.75"/>
    <row r="148" s="175" customFormat="1" ht="12.75"/>
    <row r="149" s="175" customFormat="1" ht="12.75"/>
    <row r="150" s="175" customFormat="1" ht="12.75"/>
    <row r="151" s="175" customFormat="1" ht="12.75"/>
    <row r="152" s="175" customFormat="1" ht="12.75"/>
    <row r="153" s="175" customFormat="1" ht="12.75"/>
    <row r="154" s="175" customFormat="1" ht="12.75"/>
    <row r="155" s="175" customFormat="1" ht="12.75"/>
    <row r="156" s="175" customFormat="1" ht="12.75"/>
    <row r="157" s="175" customFormat="1" ht="12.75"/>
    <row r="158" s="175" customFormat="1" ht="12.75"/>
    <row r="159" s="175" customFormat="1" ht="12.75"/>
    <row r="160" s="175" customFormat="1" ht="12.75"/>
    <row r="161" s="175" customFormat="1" ht="12.75"/>
    <row r="162" s="175" customFormat="1" ht="12.75"/>
    <row r="163" s="175" customFormat="1" ht="12.75"/>
    <row r="164" s="175" customFormat="1" ht="12.75"/>
    <row r="165" s="175" customFormat="1" ht="12.75"/>
    <row r="166" s="175" customFormat="1" ht="12.75"/>
    <row r="167" s="175" customFormat="1" ht="12.75"/>
    <row r="168" s="175" customFormat="1" ht="12.75"/>
    <row r="169" s="175" customFormat="1" ht="12.75"/>
    <row r="170" s="175" customFormat="1" ht="12.75"/>
    <row r="171" s="175" customFormat="1" ht="12.75"/>
    <row r="172" s="175" customFormat="1" ht="12.75"/>
    <row r="173" s="175" customFormat="1" ht="12.75"/>
    <row r="174" s="175" customFormat="1" ht="12.75"/>
    <row r="175" s="175" customFormat="1" ht="12.75"/>
    <row r="176" s="175" customFormat="1" ht="12.75"/>
    <row r="177" s="175" customFormat="1" ht="12.75"/>
    <row r="178" s="175" customFormat="1" ht="12.75"/>
    <row r="179" s="175" customFormat="1" ht="12.75"/>
    <row r="180" s="175" customFormat="1" ht="12.75"/>
    <row r="181" s="175" customFormat="1" ht="12.75"/>
    <row r="182" s="175" customFormat="1" ht="12.75"/>
    <row r="183" s="175" customFormat="1" ht="12.75"/>
    <row r="184" s="175" customFormat="1" ht="12.75"/>
    <row r="185" s="175" customFormat="1" ht="12.75"/>
    <row r="186" s="175" customFormat="1" ht="12.75"/>
    <row r="187" s="175" customFormat="1" ht="12.75"/>
    <row r="188" s="175" customFormat="1" ht="12.75"/>
    <row r="189" s="175" customFormat="1" ht="12.75"/>
    <row r="190" s="175" customFormat="1" ht="12.75"/>
    <row r="191" s="175" customFormat="1" ht="12.75"/>
    <row r="192" s="175" customFormat="1" ht="12.75"/>
    <row r="193" s="175" customFormat="1" ht="12.75"/>
    <row r="194" s="175" customFormat="1" ht="12.75"/>
    <row r="195" s="175" customFormat="1" ht="12.75"/>
    <row r="196" s="175" customFormat="1" ht="12.75"/>
    <row r="197" s="175" customFormat="1" ht="12.75"/>
    <row r="198" s="175" customFormat="1" ht="12.75"/>
    <row r="199" s="175" customFormat="1" ht="12.75"/>
    <row r="200" s="175" customFormat="1" ht="12.75"/>
    <row r="201" s="175" customFormat="1" ht="12.75"/>
    <row r="202" s="175" customFormat="1" ht="12.75"/>
    <row r="203" s="175" customFormat="1" ht="12.75"/>
    <row r="204" s="175" customFormat="1" ht="12.75"/>
    <row r="205" s="175" customFormat="1" ht="12.75"/>
    <row r="206" s="175" customFormat="1" ht="12.75"/>
    <row r="207" s="175" customFormat="1" ht="12.75"/>
    <row r="208" s="175" customFormat="1" ht="12.75"/>
    <row r="209" s="175" customFormat="1" ht="12.75"/>
    <row r="210" s="175" customFormat="1" ht="12.75"/>
    <row r="211" s="175" customFormat="1" ht="12.75"/>
    <row r="212" s="175" customFormat="1" ht="12.75"/>
    <row r="213" s="175" customFormat="1" ht="12.75"/>
    <row r="214" s="175" customFormat="1" ht="12.75"/>
    <row r="215" s="175" customFormat="1" ht="12.75"/>
    <row r="216" s="175" customFormat="1" ht="12.75"/>
    <row r="217" s="175" customFormat="1" ht="12.75"/>
    <row r="218" s="175" customFormat="1" ht="12.75"/>
    <row r="219" s="175" customFormat="1" ht="12.75"/>
    <row r="220" s="175" customFormat="1" ht="12.75"/>
    <row r="221" s="175" customFormat="1" ht="12.75"/>
    <row r="222" s="175" customFormat="1" ht="12.75"/>
    <row r="223" s="175" customFormat="1" ht="12.75"/>
    <row r="224" s="175" customFormat="1" ht="12.75"/>
    <row r="225" s="175" customFormat="1" ht="12.75"/>
    <row r="226" s="175" customFormat="1" ht="12.75"/>
    <row r="227" s="175" customFormat="1" ht="12.75"/>
    <row r="228" s="175" customFormat="1" ht="12.75"/>
    <row r="229" s="175" customFormat="1" ht="12.75"/>
    <row r="230" s="175" customFormat="1" ht="12.75"/>
    <row r="231" s="175" customFormat="1" ht="12.75"/>
    <row r="232" s="175" customFormat="1" ht="12.75"/>
    <row r="233" s="175" customFormat="1" ht="12.75"/>
    <row r="234" s="175" customFormat="1" ht="12.75"/>
    <row r="235" s="175" customFormat="1" ht="12.75"/>
    <row r="236" s="175" customFormat="1" ht="12.75"/>
    <row r="237" s="175" customFormat="1" ht="12.75"/>
    <row r="238" s="175" customFormat="1" ht="12.75"/>
    <row r="239" s="175" customFormat="1" ht="12.75"/>
    <row r="240" s="175" customFormat="1" ht="12.75"/>
    <row r="241" s="175" customFormat="1" ht="12.75"/>
    <row r="242" s="175" customFormat="1" ht="12.75"/>
    <row r="243" s="175" customFormat="1" ht="12.75"/>
    <row r="244" s="175" customFormat="1" ht="12.75"/>
    <row r="245" s="175" customFormat="1" ht="12.75"/>
    <row r="246" s="175" customFormat="1" ht="12.75"/>
    <row r="247" s="175" customFormat="1" ht="12.75"/>
    <row r="248" s="175" customFormat="1" ht="12.75"/>
    <row r="249" s="175" customFormat="1" ht="12.75"/>
    <row r="250" s="175" customFormat="1" ht="12.75"/>
    <row r="251" s="175" customFormat="1" ht="12.75"/>
    <row r="252" s="175" customFormat="1" ht="12.75"/>
    <row r="253" s="175" customFormat="1" ht="12.75"/>
    <row r="254" s="175" customFormat="1" ht="12.75"/>
    <row r="255" s="175" customFormat="1" ht="12.75"/>
    <row r="256" s="175" customFormat="1" ht="12.75"/>
    <row r="257" s="175" customFormat="1" ht="12.75"/>
    <row r="258" s="175" customFormat="1" ht="12.75"/>
    <row r="259" s="175" customFormat="1" ht="12.75"/>
    <row r="260" s="175" customFormat="1" ht="12.75"/>
    <row r="261" s="175" customFormat="1" ht="12.75"/>
    <row r="262" s="175" customFormat="1" ht="12.75"/>
    <row r="263" s="175" customFormat="1" ht="12.75"/>
    <row r="264" s="175" customFormat="1" ht="12.75"/>
    <row r="265" s="175" customFormat="1" ht="12.75"/>
    <row r="266" s="175" customFormat="1" ht="12.75"/>
    <row r="267" s="175" customFormat="1" ht="12.75"/>
    <row r="268" s="175" customFormat="1" ht="12.75"/>
    <row r="269" s="175" customFormat="1" ht="12.75"/>
    <row r="270" s="175" customFormat="1" ht="12.75"/>
    <row r="271" s="175" customFormat="1" ht="12.75"/>
    <row r="272" s="175" customFormat="1" ht="12.75"/>
    <row r="273" s="175" customFormat="1" ht="12.75"/>
    <row r="274" s="175" customFormat="1" ht="12.75"/>
    <row r="275" s="175" customFormat="1" ht="12.75"/>
    <row r="276" s="175" customFormat="1" ht="12.75"/>
    <row r="277" s="175" customFormat="1" ht="12.75"/>
    <row r="278" s="175" customFormat="1" ht="12.75"/>
    <row r="279" s="175" customFormat="1" ht="12.75"/>
    <row r="280" s="175" customFormat="1" ht="12.75"/>
    <row r="281" s="175" customFormat="1" ht="12.75"/>
    <row r="282" s="175" customFormat="1" ht="12.75"/>
    <row r="283" s="175" customFormat="1" ht="12.75"/>
    <row r="284" s="175" customFormat="1" ht="12.75"/>
    <row r="285" s="175" customFormat="1" ht="12.75"/>
    <row r="286" s="175" customFormat="1" ht="12.75"/>
    <row r="287" s="175" customFormat="1" ht="12.75"/>
    <row r="288" s="175" customFormat="1" ht="12.75"/>
    <row r="289" s="175" customFormat="1" ht="12.75"/>
    <row r="290" s="175" customFormat="1" ht="12.75"/>
    <row r="291" s="175" customFormat="1" ht="12.75"/>
    <row r="292" s="175" customFormat="1" ht="12.75"/>
    <row r="293" s="175" customFormat="1" ht="12.75"/>
    <row r="294" s="175" customFormat="1" ht="12.75"/>
    <row r="295" s="175" customFormat="1" ht="12.75"/>
    <row r="296" s="175" customFormat="1" ht="12.75"/>
    <row r="297" s="175" customFormat="1" ht="12.75"/>
    <row r="298" s="175" customFormat="1" ht="12.75"/>
    <row r="299" s="175" customFormat="1" ht="12.75"/>
    <row r="300" s="175" customFormat="1" ht="12.75"/>
    <row r="301" s="175" customFormat="1" ht="12.75"/>
    <row r="302" s="175" customFormat="1" ht="12.75"/>
    <row r="303" s="175" customFormat="1" ht="12.75"/>
    <row r="304" s="175" customFormat="1" ht="12.75"/>
    <row r="305" s="175" customFormat="1" ht="12.75"/>
    <row r="306" s="175" customFormat="1" ht="12.75"/>
    <row r="307" s="175" customFormat="1" ht="12.75"/>
    <row r="308" s="175" customFormat="1" ht="12.75"/>
    <row r="309" s="175" customFormat="1" ht="12.75"/>
    <row r="310" s="175" customFormat="1" ht="12.75"/>
    <row r="311" s="175" customFormat="1" ht="12.75"/>
    <row r="312" s="175" customFormat="1" ht="12.75"/>
    <row r="313" s="175" customFormat="1" ht="12.75"/>
    <row r="314" s="175" customFormat="1" ht="12.75"/>
    <row r="315" s="175" customFormat="1" ht="12.75"/>
    <row r="316" s="175" customFormat="1" ht="12.75"/>
    <row r="317" s="175" customFormat="1" ht="12.75"/>
    <row r="318" s="175" customFormat="1" ht="12.75"/>
    <row r="319" s="175" customFormat="1" ht="12.75"/>
    <row r="320" s="175" customFormat="1" ht="12.75"/>
    <row r="321" s="175" customFormat="1" ht="12.75"/>
    <row r="322" s="175" customFormat="1" ht="12.75"/>
    <row r="323" s="175" customFormat="1" ht="12.75"/>
    <row r="324" s="175" customFormat="1" ht="12.75"/>
    <row r="325" s="175" customFormat="1" ht="12.75"/>
    <row r="326" s="175" customFormat="1" ht="12.75"/>
    <row r="327" s="175" customFormat="1" ht="12.75"/>
    <row r="328" s="175" customFormat="1" ht="12.75"/>
    <row r="329" s="175" customFormat="1" ht="12.75"/>
    <row r="330" s="175" customFormat="1" ht="12.75"/>
    <row r="331" s="175" customFormat="1" ht="12.75"/>
    <row r="332" s="175" customFormat="1" ht="12.75"/>
    <row r="333" s="175" customFormat="1" ht="12.75"/>
    <row r="334" s="175" customFormat="1" ht="12.75"/>
    <row r="335" s="175" customFormat="1" ht="12.75"/>
    <row r="336" s="175" customFormat="1" ht="12.75"/>
    <row r="337" s="175" customFormat="1" ht="12.75"/>
    <row r="338" s="175" customFormat="1" ht="12.75"/>
    <row r="339" s="175" customFormat="1" ht="12.75"/>
    <row r="340" s="175" customFormat="1" ht="12.75"/>
    <row r="341" s="175" customFormat="1" ht="12.75"/>
    <row r="342" s="175" customFormat="1" ht="12.75"/>
    <row r="343" s="175" customFormat="1" ht="12.75"/>
    <row r="344" s="175" customFormat="1" ht="12.75"/>
    <row r="345" s="175" customFormat="1" ht="12.75"/>
    <row r="346" s="175" customFormat="1" ht="12.75"/>
    <row r="347" s="175" customFormat="1" ht="12.75"/>
    <row r="348" s="175" customFormat="1" ht="12.75"/>
    <row r="349" s="175" customFormat="1" ht="12.75"/>
    <row r="350" s="175" customFormat="1" ht="12.75"/>
    <row r="351" s="175" customFormat="1" ht="12.75"/>
    <row r="352" s="175" customFormat="1" ht="12.75"/>
    <row r="353" s="175" customFormat="1" ht="12.75"/>
    <row r="354" s="175" customFormat="1" ht="12.75"/>
    <row r="355" s="175" customFormat="1" ht="12.75"/>
    <row r="356" s="175" customFormat="1" ht="12.75"/>
    <row r="357" s="175" customFormat="1" ht="12.75"/>
    <row r="358" s="175" customFormat="1" ht="12.75"/>
    <row r="359" s="175" customFormat="1" ht="12.75"/>
    <row r="360" s="175" customFormat="1" ht="12.75"/>
    <row r="361" s="175" customFormat="1" ht="12.75"/>
    <row r="362" s="175" customFormat="1" ht="12.75"/>
    <row r="363" s="175" customFormat="1" ht="12.75"/>
    <row r="364" s="175" customFormat="1" ht="12.75"/>
    <row r="365" s="175" customFormat="1" ht="12.75"/>
    <row r="366" s="175" customFormat="1" ht="12.75"/>
    <row r="367" s="175" customFormat="1" ht="12.75"/>
    <row r="368" s="175" customFormat="1" ht="12.75"/>
    <row r="369" s="175" customFormat="1" ht="12.75"/>
    <row r="370" s="175" customFormat="1" ht="12.75"/>
    <row r="371" s="175" customFormat="1" ht="12.75"/>
    <row r="372" s="175" customFormat="1" ht="12.75"/>
    <row r="373" s="175" customFormat="1" ht="12.75"/>
    <row r="374" s="175" customFormat="1" ht="12.75"/>
    <row r="375" s="175" customFormat="1" ht="12.75"/>
    <row r="376" s="175" customFormat="1" ht="12.75"/>
    <row r="377" s="175" customFormat="1" ht="12.75"/>
    <row r="378" s="175" customFormat="1" ht="12.75"/>
    <row r="379" s="175" customFormat="1" ht="12.75"/>
    <row r="380" s="175" customFormat="1" ht="12.75"/>
    <row r="381" s="175" customFormat="1" ht="12.75"/>
    <row r="382" s="175" customFormat="1" ht="12.75"/>
    <row r="383" s="175" customFormat="1" ht="12.75"/>
    <row r="384" s="175" customFormat="1" ht="12.75"/>
    <row r="385" s="175" customFormat="1" ht="12.75"/>
    <row r="386" s="175" customFormat="1" ht="12.75"/>
    <row r="387" s="175" customFormat="1" ht="12.75"/>
  </sheetData>
  <sheetProtection password="C477" sheet="1" objects="1" scenarios="1"/>
  <mergeCells count="19">
    <mergeCell ref="U5:V5"/>
    <mergeCell ref="T41:U41"/>
    <mergeCell ref="Q41:R41"/>
    <mergeCell ref="S17:S18"/>
    <mergeCell ref="T17:T18"/>
    <mergeCell ref="U17:U18"/>
    <mergeCell ref="V17:V18"/>
    <mergeCell ref="N17:R17"/>
    <mergeCell ref="S15:V15"/>
    <mergeCell ref="S16:V16"/>
    <mergeCell ref="I17:M17"/>
    <mergeCell ref="E17:E18"/>
    <mergeCell ref="F17:F18"/>
    <mergeCell ref="D3:N3"/>
    <mergeCell ref="G10:H10"/>
    <mergeCell ref="G14:H14"/>
    <mergeCell ref="D17:D20"/>
    <mergeCell ref="G17:G18"/>
    <mergeCell ref="H17:H20"/>
  </mergeCells>
  <conditionalFormatting sqref="D21:V40">
    <cfRule type="cellIs" priority="1" dxfId="1" operator="notEqual" stopIfTrue="1">
      <formula>0</formula>
    </cfRule>
    <cfRule type="cellIs" priority="2" dxfId="0" operator="equal" stopIfTrue="1">
      <formula>0</formula>
    </cfRule>
  </conditionalFormatting>
  <printOptions/>
  <pageMargins left="0.787401575" right="0.787401575" top="0.984251969" bottom="0.73" header="0.4921259845" footer="0.4921259845"/>
  <pageSetup fitToHeight="1" fitToWidth="1" horizontalDpi="600" verticalDpi="600" orientation="landscape" paperSize="9" scale="7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X7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9.140625" style="144" customWidth="1"/>
    <col min="3" max="3" width="12.421875" style="144" bestFit="1" customWidth="1"/>
    <col min="4" max="6" width="9.140625" style="144" customWidth="1"/>
    <col min="7" max="7" width="10.00390625" style="144" customWidth="1"/>
    <col min="8" max="8" width="9.140625" style="144" customWidth="1"/>
    <col min="9" max="9" width="10.7109375" style="144" customWidth="1"/>
    <col min="10" max="10" width="11.421875" style="144" customWidth="1"/>
    <col min="11" max="13" width="9.140625" style="144" customWidth="1"/>
    <col min="14" max="14" width="6.7109375" style="144" customWidth="1"/>
    <col min="15" max="15" width="9.8515625" style="144" customWidth="1"/>
    <col min="16" max="16" width="7.57421875" style="144" customWidth="1"/>
    <col min="17" max="18" width="6.7109375" style="144" customWidth="1"/>
    <col min="19" max="19" width="6.57421875" style="144" customWidth="1"/>
    <col min="20" max="20" width="5.7109375" style="144" customWidth="1"/>
    <col min="21" max="21" width="6.7109375" style="144" customWidth="1"/>
    <col min="22" max="22" width="16.8515625" style="144" customWidth="1"/>
    <col min="23" max="23" width="6.7109375" style="144" customWidth="1"/>
    <col min="24" max="16384" width="9.140625" style="144" customWidth="1"/>
  </cols>
  <sheetData>
    <row r="2" spans="4:15" ht="12.75">
      <c r="D2" s="144" t="s">
        <v>71</v>
      </c>
      <c r="G2" s="144" t="s">
        <v>69</v>
      </c>
      <c r="I2" s="144" t="s">
        <v>75</v>
      </c>
      <c r="O2" s="144" t="s">
        <v>82</v>
      </c>
    </row>
    <row r="3" spans="1:24" ht="12.75">
      <c r="A3" s="144">
        <f>IF(B3&lt;=data!$G$5,1,0)</f>
        <v>1</v>
      </c>
      <c r="B3" s="144">
        <v>1</v>
      </c>
      <c r="C3" s="146" t="s">
        <v>0</v>
      </c>
      <c r="D3" s="144">
        <v>2</v>
      </c>
      <c r="E3" s="144" t="s">
        <v>67</v>
      </c>
      <c r="G3" s="147">
        <v>1</v>
      </c>
      <c r="H3" s="142"/>
      <c r="I3" s="144">
        <v>2</v>
      </c>
      <c r="J3" s="144" t="s">
        <v>73</v>
      </c>
      <c r="L3" s="143" t="s">
        <v>39</v>
      </c>
      <c r="M3" s="148">
        <v>5E-05</v>
      </c>
      <c r="N3" s="143"/>
      <c r="O3" s="144" t="s">
        <v>80</v>
      </c>
      <c r="P3" s="144" t="s">
        <v>81</v>
      </c>
      <c r="R3" s="144">
        <v>4</v>
      </c>
      <c r="S3" s="144">
        <v>1</v>
      </c>
      <c r="T3" s="294" t="s">
        <v>179</v>
      </c>
      <c r="U3" s="294"/>
      <c r="V3" s="294"/>
      <c r="W3" s="294"/>
      <c r="X3" s="143">
        <v>0.2</v>
      </c>
    </row>
    <row r="4" spans="1:24" ht="12.75">
      <c r="A4" s="144">
        <f>IF(B4&lt;=data!$G$5,1,0)</f>
        <v>1</v>
      </c>
      <c r="B4" s="144">
        <v>2</v>
      </c>
      <c r="C4" s="146" t="s">
        <v>1</v>
      </c>
      <c r="D4" s="144">
        <v>2</v>
      </c>
      <c r="E4" s="144" t="s">
        <v>68</v>
      </c>
      <c r="J4" s="144" t="s">
        <v>74</v>
      </c>
      <c r="L4" s="143" t="s">
        <v>40</v>
      </c>
      <c r="M4" s="148">
        <v>5E-05</v>
      </c>
      <c r="N4" s="143"/>
      <c r="O4" s="143">
        <v>5</v>
      </c>
      <c r="P4" s="148">
        <v>6.5E-05</v>
      </c>
      <c r="S4" s="144">
        <v>2</v>
      </c>
      <c r="T4" s="294" t="s">
        <v>180</v>
      </c>
      <c r="U4" s="294"/>
      <c r="V4" s="294"/>
      <c r="W4" s="294"/>
      <c r="X4" s="143">
        <v>0.3</v>
      </c>
    </row>
    <row r="5" spans="1:24" ht="12.75">
      <c r="A5" s="144">
        <f>IF(B5&lt;=data!$G$5,1,0)</f>
        <v>1</v>
      </c>
      <c r="B5" s="144">
        <v>3</v>
      </c>
      <c r="C5" s="146" t="s">
        <v>2</v>
      </c>
      <c r="D5" s="144">
        <v>2</v>
      </c>
      <c r="G5" s="149">
        <v>3</v>
      </c>
      <c r="I5" s="144" t="s">
        <v>70</v>
      </c>
      <c r="L5" s="143" t="s">
        <v>41</v>
      </c>
      <c r="M5" s="148">
        <v>2.2E-05</v>
      </c>
      <c r="N5" s="143"/>
      <c r="O5" s="143">
        <v>10</v>
      </c>
      <c r="P5" s="148">
        <v>8.9E-05</v>
      </c>
      <c r="S5" s="144">
        <v>3</v>
      </c>
      <c r="T5" s="294" t="s">
        <v>181</v>
      </c>
      <c r="U5" s="294"/>
      <c r="V5" s="294"/>
      <c r="W5" s="294"/>
      <c r="X5" s="143">
        <v>0.4</v>
      </c>
    </row>
    <row r="6" spans="1:24" ht="12.75">
      <c r="A6" s="144">
        <f>IF(B6&lt;=data!$G$5,1,0)</f>
        <v>0</v>
      </c>
      <c r="B6" s="144">
        <v>4</v>
      </c>
      <c r="C6" s="146" t="s">
        <v>3</v>
      </c>
      <c r="D6" s="144">
        <v>2</v>
      </c>
      <c r="I6" s="144">
        <v>1</v>
      </c>
      <c r="J6" s="144" t="s">
        <v>67</v>
      </c>
      <c r="L6" s="143"/>
      <c r="M6" s="143"/>
      <c r="N6" s="143"/>
      <c r="O6" s="143">
        <v>15</v>
      </c>
      <c r="P6" s="148">
        <v>0.00013</v>
      </c>
      <c r="Q6" s="143"/>
      <c r="S6" s="144">
        <v>4</v>
      </c>
      <c r="T6" s="294" t="s">
        <v>182</v>
      </c>
      <c r="U6" s="294"/>
      <c r="V6" s="294"/>
      <c r="W6" s="294"/>
      <c r="X6" s="143">
        <v>0.5</v>
      </c>
    </row>
    <row r="7" spans="1:24" ht="12.75">
      <c r="A7" s="144">
        <f>IF(B7&lt;=data!$G$5,1,0)</f>
        <v>0</v>
      </c>
      <c r="B7" s="144">
        <v>5</v>
      </c>
      <c r="C7" s="146" t="s">
        <v>4</v>
      </c>
      <c r="D7" s="144">
        <v>2</v>
      </c>
      <c r="G7" s="144" t="s">
        <v>86</v>
      </c>
      <c r="J7" s="144" t="s">
        <v>68</v>
      </c>
      <c r="L7" s="143" t="s">
        <v>45</v>
      </c>
      <c r="M7" s="143">
        <v>50</v>
      </c>
      <c r="N7" s="143" t="s">
        <v>47</v>
      </c>
      <c r="O7" s="143"/>
      <c r="P7" s="143"/>
      <c r="Q7" s="143"/>
      <c r="S7" s="144">
        <v>5</v>
      </c>
      <c r="T7" s="294" t="s">
        <v>90</v>
      </c>
      <c r="U7" s="294"/>
      <c r="V7" s="294"/>
      <c r="W7" s="294"/>
      <c r="X7" s="143">
        <v>0.5</v>
      </c>
    </row>
    <row r="8" spans="1:24" ht="13.5" customHeight="1">
      <c r="A8" s="144">
        <f>IF(B8&lt;=data!$G$5,1,0)</f>
        <v>0</v>
      </c>
      <c r="B8" s="144">
        <v>6</v>
      </c>
      <c r="C8" s="146" t="s">
        <v>5</v>
      </c>
      <c r="D8" s="144">
        <v>2</v>
      </c>
      <c r="G8" s="150">
        <f>+Zadání!F17</f>
        <v>146</v>
      </c>
      <c r="L8" s="144" t="s">
        <v>183</v>
      </c>
      <c r="M8" s="151">
        <v>26</v>
      </c>
      <c r="N8" s="144" t="s">
        <v>47</v>
      </c>
      <c r="P8" s="143"/>
      <c r="Q8" s="143"/>
      <c r="S8" s="144">
        <v>6</v>
      </c>
      <c r="T8" s="294" t="s">
        <v>89</v>
      </c>
      <c r="U8" s="294"/>
      <c r="V8" s="294"/>
      <c r="W8" s="294"/>
      <c r="X8" s="143">
        <v>0.8</v>
      </c>
    </row>
    <row r="9" spans="1:24" ht="12.75">
      <c r="A9" s="144">
        <f>IF(B9&lt;=data!$G$5,1,0)</f>
        <v>0</v>
      </c>
      <c r="B9" s="144">
        <v>7</v>
      </c>
      <c r="C9" s="146" t="s">
        <v>6</v>
      </c>
      <c r="D9" s="144">
        <v>2</v>
      </c>
      <c r="L9" s="143" t="s">
        <v>46</v>
      </c>
      <c r="M9" s="143">
        <v>10</v>
      </c>
      <c r="N9" s="143" t="s">
        <v>47</v>
      </c>
      <c r="S9" s="144">
        <v>7</v>
      </c>
      <c r="T9" s="294" t="s">
        <v>54</v>
      </c>
      <c r="U9" s="294"/>
      <c r="V9" s="294"/>
      <c r="W9" s="294"/>
      <c r="X9" s="145">
        <v>1</v>
      </c>
    </row>
    <row r="10" spans="1:24" ht="12.75">
      <c r="A10" s="144">
        <f>IF(B10&lt;=data!$G$5,1,0)</f>
        <v>0</v>
      </c>
      <c r="B10" s="144">
        <v>8</v>
      </c>
      <c r="C10" s="146" t="s">
        <v>7</v>
      </c>
      <c r="D10" s="144">
        <v>2</v>
      </c>
      <c r="L10" s="143" t="s">
        <v>46</v>
      </c>
      <c r="M10" s="143">
        <v>5</v>
      </c>
      <c r="N10" s="144" t="s">
        <v>47</v>
      </c>
      <c r="S10" s="144">
        <v>8</v>
      </c>
      <c r="T10" s="294" t="s">
        <v>165</v>
      </c>
      <c r="U10" s="294"/>
      <c r="V10" s="294"/>
      <c r="W10" s="294"/>
      <c r="X10" s="143">
        <v>1.5</v>
      </c>
    </row>
    <row r="11" spans="1:13" ht="12.75">
      <c r="A11" s="144">
        <f>IF(B11&lt;=data!$G$5,1,0)</f>
        <v>0</v>
      </c>
      <c r="B11" s="144">
        <v>9</v>
      </c>
      <c r="C11" s="146" t="s">
        <v>8</v>
      </c>
      <c r="D11" s="144">
        <v>2</v>
      </c>
      <c r="M11" s="144">
        <f>IF($I$3=1,$M$9,$M$10)</f>
        <v>5</v>
      </c>
    </row>
    <row r="12" spans="1:4" ht="12.75">
      <c r="A12" s="144">
        <f>IF(B12&lt;=data!$G$5,1,0)</f>
        <v>0</v>
      </c>
      <c r="B12" s="144">
        <v>10</v>
      </c>
      <c r="C12" s="146" t="s">
        <v>9</v>
      </c>
      <c r="D12" s="144">
        <v>2</v>
      </c>
    </row>
    <row r="13" spans="1:19" ht="12.75">
      <c r="A13" s="144">
        <f>IF(B13&lt;=data!$G$5,1,0)</f>
        <v>0</v>
      </c>
      <c r="B13" s="144">
        <v>11</v>
      </c>
      <c r="C13" s="146" t="s">
        <v>10</v>
      </c>
      <c r="D13" s="144">
        <v>2</v>
      </c>
      <c r="R13" s="144">
        <v>2</v>
      </c>
      <c r="S13" s="144" t="s">
        <v>178</v>
      </c>
    </row>
    <row r="14" spans="1:19" ht="12.75">
      <c r="A14" s="144">
        <f>IF(B14&lt;=data!$G$5,1,0)</f>
        <v>0</v>
      </c>
      <c r="B14" s="144">
        <v>12</v>
      </c>
      <c r="C14" s="146" t="s">
        <v>11</v>
      </c>
      <c r="D14" s="144">
        <v>2</v>
      </c>
      <c r="S14" s="144" t="s">
        <v>176</v>
      </c>
    </row>
    <row r="15" spans="1:4" ht="12.75">
      <c r="A15" s="144">
        <f>IF(B15&lt;=data!$G$5,1,0)</f>
        <v>0</v>
      </c>
      <c r="B15" s="144">
        <v>13</v>
      </c>
      <c r="C15" s="146" t="s">
        <v>12</v>
      </c>
      <c r="D15" s="144">
        <v>2</v>
      </c>
    </row>
    <row r="16" spans="1:4" ht="12.75">
      <c r="A16" s="144">
        <f>IF(B16&lt;=data!$G$5,1,0)</f>
        <v>0</v>
      </c>
      <c r="B16" s="144">
        <v>14</v>
      </c>
      <c r="C16" s="146" t="s">
        <v>13</v>
      </c>
      <c r="D16" s="144">
        <v>2</v>
      </c>
    </row>
    <row r="17" spans="1:9" ht="12.75">
      <c r="A17" s="144">
        <f>IF(B17&lt;=data!$G$5,1,0)</f>
        <v>0</v>
      </c>
      <c r="B17" s="144">
        <v>15</v>
      </c>
      <c r="C17" s="146" t="s">
        <v>14</v>
      </c>
      <c r="D17" s="144">
        <v>2</v>
      </c>
      <c r="I17" s="141"/>
    </row>
    <row r="18" spans="1:9" ht="12.75">
      <c r="A18" s="144">
        <f>IF(B18&lt;=data!$G$5,1,0)</f>
        <v>0</v>
      </c>
      <c r="B18" s="144">
        <v>16</v>
      </c>
      <c r="C18" s="146" t="s">
        <v>15</v>
      </c>
      <c r="D18" s="144">
        <v>2</v>
      </c>
      <c r="I18" s="141"/>
    </row>
    <row r="19" spans="1:9" ht="12.75">
      <c r="A19" s="144">
        <f>IF(B19&lt;=data!$G$5,1,0)</f>
        <v>0</v>
      </c>
      <c r="B19" s="144">
        <v>17</v>
      </c>
      <c r="C19" s="146" t="s">
        <v>16</v>
      </c>
      <c r="D19" s="144">
        <v>2</v>
      </c>
      <c r="I19" s="141"/>
    </row>
    <row r="20" spans="1:4" ht="12.75">
      <c r="A20" s="144">
        <f>IF(B20&lt;=data!$G$5,1,0)</f>
        <v>0</v>
      </c>
      <c r="B20" s="144">
        <v>18</v>
      </c>
      <c r="C20" s="146" t="s">
        <v>17</v>
      </c>
      <c r="D20" s="144">
        <v>2</v>
      </c>
    </row>
    <row r="21" spans="1:4" ht="12.75">
      <c r="A21" s="144">
        <f>IF(B21&lt;=data!$G$5,1,0)</f>
        <v>0</v>
      </c>
      <c r="B21" s="144">
        <v>19</v>
      </c>
      <c r="C21" s="146" t="s">
        <v>18</v>
      </c>
      <c r="D21" s="144">
        <v>2</v>
      </c>
    </row>
    <row r="22" spans="1:4" ht="12.75">
      <c r="A22" s="144">
        <f>IF(B22&lt;=data!$G$5,1,0)</f>
        <v>0</v>
      </c>
      <c r="B22" s="144">
        <v>20</v>
      </c>
      <c r="C22" s="146" t="s">
        <v>19</v>
      </c>
      <c r="D22" s="144">
        <v>2</v>
      </c>
    </row>
    <row r="23" ht="12.75">
      <c r="J23" s="146"/>
    </row>
    <row r="27" spans="4:23" ht="12.75">
      <c r="D27" s="293" t="s">
        <v>85</v>
      </c>
      <c r="E27" s="293"/>
      <c r="F27" s="293"/>
      <c r="G27" s="293"/>
      <c r="H27" s="293"/>
      <c r="I27" s="293"/>
      <c r="J27" s="293"/>
      <c r="K27" s="293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93"/>
    </row>
    <row r="28" spans="2:23" ht="12.75">
      <c r="B28" s="144" t="s">
        <v>83</v>
      </c>
      <c r="C28" s="144" t="s">
        <v>84</v>
      </c>
      <c r="D28" s="144">
        <v>1</v>
      </c>
      <c r="E28" s="144">
        <v>2</v>
      </c>
      <c r="F28" s="144">
        <v>3</v>
      </c>
      <c r="G28" s="144">
        <v>4</v>
      </c>
      <c r="H28" s="144">
        <v>5</v>
      </c>
      <c r="I28" s="144">
        <v>6</v>
      </c>
      <c r="J28" s="144">
        <v>7</v>
      </c>
      <c r="K28" s="144">
        <v>8</v>
      </c>
      <c r="L28" s="144">
        <v>9</v>
      </c>
      <c r="M28" s="144">
        <v>10</v>
      </c>
      <c r="N28" s="144">
        <v>11</v>
      </c>
      <c r="O28" s="144">
        <v>12</v>
      </c>
      <c r="P28" s="144">
        <v>13</v>
      </c>
      <c r="Q28" s="144">
        <v>14</v>
      </c>
      <c r="R28" s="144">
        <v>15</v>
      </c>
      <c r="S28" s="144">
        <v>16</v>
      </c>
      <c r="T28" s="144">
        <v>17</v>
      </c>
      <c r="U28" s="144">
        <v>18</v>
      </c>
      <c r="V28" s="144">
        <v>19</v>
      </c>
      <c r="W28" s="144">
        <v>20</v>
      </c>
    </row>
    <row r="29" spans="2:23" ht="12.75">
      <c r="B29" s="144">
        <v>1</v>
      </c>
      <c r="C29" s="144">
        <f>Výpočet!H10</f>
        <v>49</v>
      </c>
      <c r="D29" s="146">
        <f>IF(C29=0,0,G8-C29)</f>
        <v>97</v>
      </c>
      <c r="E29" s="146">
        <v>0</v>
      </c>
      <c r="F29" s="146">
        <v>0</v>
      </c>
      <c r="G29" s="146">
        <v>0</v>
      </c>
      <c r="H29" s="146">
        <v>0</v>
      </c>
      <c r="I29" s="146">
        <v>0</v>
      </c>
      <c r="J29" s="146">
        <v>0</v>
      </c>
      <c r="K29" s="146">
        <v>0</v>
      </c>
      <c r="L29" s="146">
        <v>0</v>
      </c>
      <c r="M29" s="146">
        <v>0</v>
      </c>
      <c r="N29" s="146">
        <v>0</v>
      </c>
      <c r="O29" s="146">
        <v>0</v>
      </c>
      <c r="P29" s="146">
        <v>0</v>
      </c>
      <c r="Q29" s="146">
        <v>0</v>
      </c>
      <c r="R29" s="146">
        <v>0</v>
      </c>
      <c r="S29" s="146">
        <v>0</v>
      </c>
      <c r="T29" s="146">
        <v>0</v>
      </c>
      <c r="U29" s="146">
        <v>0</v>
      </c>
      <c r="V29" s="146">
        <v>0</v>
      </c>
      <c r="W29" s="146">
        <v>0</v>
      </c>
    </row>
    <row r="30" spans="2:23" ht="12.75">
      <c r="B30" s="144">
        <v>2</v>
      </c>
      <c r="C30" s="144">
        <f>Výpočet!H11</f>
        <v>52</v>
      </c>
      <c r="D30" s="146">
        <f>IF($C$30=0,0,$C$31+$C$32+$C$33+$C$34+$C$35+$C$36+$C$37+$C$38+$C$39+$C$40+$C$41+$C$42+$C$43+$C$44+$C$45+$C$46+$C$47+$C$48)</f>
        <v>45</v>
      </c>
      <c r="E30" s="146">
        <f>IF($C$30=0,0,$G$8-$C$29)</f>
        <v>97</v>
      </c>
      <c r="F30" s="146">
        <f aca="true" t="shared" si="0" ref="F30:W30">IF($C$30=0,0,$C$29)</f>
        <v>49</v>
      </c>
      <c r="G30" s="146">
        <f t="shared" si="0"/>
        <v>49</v>
      </c>
      <c r="H30" s="146">
        <f t="shared" si="0"/>
        <v>49</v>
      </c>
      <c r="I30" s="146">
        <f t="shared" si="0"/>
        <v>49</v>
      </c>
      <c r="J30" s="146">
        <f t="shared" si="0"/>
        <v>49</v>
      </c>
      <c r="K30" s="146">
        <f t="shared" si="0"/>
        <v>49</v>
      </c>
      <c r="L30" s="146">
        <f t="shared" si="0"/>
        <v>49</v>
      </c>
      <c r="M30" s="146">
        <f t="shared" si="0"/>
        <v>49</v>
      </c>
      <c r="N30" s="146">
        <f t="shared" si="0"/>
        <v>49</v>
      </c>
      <c r="O30" s="146">
        <f t="shared" si="0"/>
        <v>49</v>
      </c>
      <c r="P30" s="146">
        <f t="shared" si="0"/>
        <v>49</v>
      </c>
      <c r="Q30" s="146">
        <f t="shared" si="0"/>
        <v>49</v>
      </c>
      <c r="R30" s="146">
        <f t="shared" si="0"/>
        <v>49</v>
      </c>
      <c r="S30" s="146">
        <f t="shared" si="0"/>
        <v>49</v>
      </c>
      <c r="T30" s="146">
        <f t="shared" si="0"/>
        <v>49</v>
      </c>
      <c r="U30" s="146">
        <f t="shared" si="0"/>
        <v>49</v>
      </c>
      <c r="V30" s="146">
        <f t="shared" si="0"/>
        <v>49</v>
      </c>
      <c r="W30" s="146">
        <f t="shared" si="0"/>
        <v>49</v>
      </c>
    </row>
    <row r="31" spans="2:23" ht="12.75">
      <c r="B31" s="144">
        <v>3</v>
      </c>
      <c r="C31" s="144">
        <f>Výpočet!H12</f>
        <v>45</v>
      </c>
      <c r="D31" s="146">
        <f>IF($C$31=0,0,$C$32+$C$33+$C$34+$C$35+$C$36+$C$37+$C$38+$C$39+$C$40+$C$41+$C$42+$C$43+$C$44+$C$45+$C$46+$C$47+$C$48)</f>
        <v>0</v>
      </c>
      <c r="E31" s="146">
        <f>IF($C$31=0,0,$C$32+$C$33+$C$34+$C$35+$C$36+$C$37+$C$38+$C$39+$C$40+$C$41+$C$42+$C$43+$C$44+$C$45+$C$46+$C$47+$C$48)</f>
        <v>0</v>
      </c>
      <c r="F31" s="146">
        <f>IF($C$31=0,0,$G$8-$C$31)</f>
        <v>101</v>
      </c>
      <c r="G31" s="146">
        <f aca="true" t="shared" si="1" ref="G31:W31">IF($C$31=0,0,$C$29+$C$30)</f>
        <v>101</v>
      </c>
      <c r="H31" s="146">
        <f t="shared" si="1"/>
        <v>101</v>
      </c>
      <c r="I31" s="146">
        <f t="shared" si="1"/>
        <v>101</v>
      </c>
      <c r="J31" s="146">
        <f t="shared" si="1"/>
        <v>101</v>
      </c>
      <c r="K31" s="146">
        <f t="shared" si="1"/>
        <v>101</v>
      </c>
      <c r="L31" s="146">
        <f t="shared" si="1"/>
        <v>101</v>
      </c>
      <c r="M31" s="146">
        <f t="shared" si="1"/>
        <v>101</v>
      </c>
      <c r="N31" s="146">
        <f t="shared" si="1"/>
        <v>101</v>
      </c>
      <c r="O31" s="146">
        <f t="shared" si="1"/>
        <v>101</v>
      </c>
      <c r="P31" s="146">
        <f t="shared" si="1"/>
        <v>101</v>
      </c>
      <c r="Q31" s="146">
        <f t="shared" si="1"/>
        <v>101</v>
      </c>
      <c r="R31" s="146">
        <f t="shared" si="1"/>
        <v>101</v>
      </c>
      <c r="S31" s="146">
        <f t="shared" si="1"/>
        <v>101</v>
      </c>
      <c r="T31" s="146">
        <f t="shared" si="1"/>
        <v>101</v>
      </c>
      <c r="U31" s="146">
        <f t="shared" si="1"/>
        <v>101</v>
      </c>
      <c r="V31" s="146">
        <f t="shared" si="1"/>
        <v>101</v>
      </c>
      <c r="W31" s="146">
        <f t="shared" si="1"/>
        <v>101</v>
      </c>
    </row>
    <row r="32" spans="2:23" ht="12.75">
      <c r="B32" s="144">
        <v>4</v>
      </c>
      <c r="C32" s="144">
        <f>Výpočet!H13</f>
        <v>0</v>
      </c>
      <c r="D32" s="146">
        <f>IF($C$32=0,0,$C$33+$C$34+$C$35+$C$36+$C$37+$C$38+$C$39+$C$40+$C$41+$C$42+$C$43+$C$44+$C$45+$C$46+$C$47+$C$48)</f>
        <v>0</v>
      </c>
      <c r="E32" s="146">
        <f>IF($C$32=0,0,$C$33+$C$34+$C$35+$C$36+$C$37+$C$38+$C$39+$C$40+$C$41+$C$42+$C$43+$C$44+$C$45+$C$46+$C$47+$C$48)</f>
        <v>0</v>
      </c>
      <c r="F32" s="146">
        <f>IF($C$32=0,0,$C$33+$C$34+$C$35+$C$36+$C$37+$C$38+$C$39+$C$40+$C$41+$C$42+$C$43+$C$44+$C$45+$C$46+$C$47+$C$48)</f>
        <v>0</v>
      </c>
      <c r="G32" s="146">
        <f>IF($C$32=0,0,$G$8-$C$32)</f>
        <v>0</v>
      </c>
      <c r="H32" s="146">
        <f aca="true" t="shared" si="2" ref="H32:W32">IF($C$32=0,0,$C$29+$C$30+$C$31)</f>
        <v>0</v>
      </c>
      <c r="I32" s="146">
        <f t="shared" si="2"/>
        <v>0</v>
      </c>
      <c r="J32" s="146">
        <f t="shared" si="2"/>
        <v>0</v>
      </c>
      <c r="K32" s="146">
        <f t="shared" si="2"/>
        <v>0</v>
      </c>
      <c r="L32" s="146">
        <f t="shared" si="2"/>
        <v>0</v>
      </c>
      <c r="M32" s="146">
        <f t="shared" si="2"/>
        <v>0</v>
      </c>
      <c r="N32" s="146">
        <f t="shared" si="2"/>
        <v>0</v>
      </c>
      <c r="O32" s="146">
        <f t="shared" si="2"/>
        <v>0</v>
      </c>
      <c r="P32" s="146">
        <f t="shared" si="2"/>
        <v>0</v>
      </c>
      <c r="Q32" s="146">
        <f t="shared" si="2"/>
        <v>0</v>
      </c>
      <c r="R32" s="146">
        <f t="shared" si="2"/>
        <v>0</v>
      </c>
      <c r="S32" s="146">
        <f t="shared" si="2"/>
        <v>0</v>
      </c>
      <c r="T32" s="146">
        <f t="shared" si="2"/>
        <v>0</v>
      </c>
      <c r="U32" s="146">
        <f t="shared" si="2"/>
        <v>0</v>
      </c>
      <c r="V32" s="146">
        <f t="shared" si="2"/>
        <v>0</v>
      </c>
      <c r="W32" s="146">
        <f t="shared" si="2"/>
        <v>0</v>
      </c>
    </row>
    <row r="33" spans="2:23" ht="12.75">
      <c r="B33" s="144">
        <v>5</v>
      </c>
      <c r="C33" s="144">
        <f>Výpočet!H14</f>
        <v>0</v>
      </c>
      <c r="D33" s="146">
        <f>IF($C$33=0,0,$C$34+$C$35+$C$36+$C$37+$C$38+$C$39+$C$40+$C$41+$C$42+$C$43+$C$44+$C$45+$C$46+$C$47+$C$48)</f>
        <v>0</v>
      </c>
      <c r="E33" s="146">
        <f>IF($C$33=0,0,$C$34+$C$35+$C$36+$C$37+$C$38+$C$39+$C$40+$C$41+$C$42+$C$43+$C$44+$C$45+$C$46+$C$47+$C$48)</f>
        <v>0</v>
      </c>
      <c r="F33" s="146">
        <f>IF($C$33=0,0,$C$34+$C$35+$C$36+$C$37+$C$38+$C$39+$C$40+$C$41+$C$42+$C$43+$C$44+$C$45+$C$46+$C$47+$C$48)</f>
        <v>0</v>
      </c>
      <c r="G33" s="146">
        <f>IF($C$33=0,0,$C$34+$C$35+$C$36+$C$37+$C$38+$C$39+$C$40+$C$41+$C$42+$C$43+$C$44+$C$45+$C$46+$C$47+$C$48)</f>
        <v>0</v>
      </c>
      <c r="H33" s="146">
        <f>IF($C$33=0,0,$G$8-$C$33)</f>
        <v>0</v>
      </c>
      <c r="I33" s="146">
        <f aca="true" t="shared" si="3" ref="I33:W33">IF($C$33=0,0,$C$29+$C$30+$C$31+$C$32)</f>
        <v>0</v>
      </c>
      <c r="J33" s="146">
        <f t="shared" si="3"/>
        <v>0</v>
      </c>
      <c r="K33" s="146">
        <f t="shared" si="3"/>
        <v>0</v>
      </c>
      <c r="L33" s="146">
        <f t="shared" si="3"/>
        <v>0</v>
      </c>
      <c r="M33" s="146">
        <f t="shared" si="3"/>
        <v>0</v>
      </c>
      <c r="N33" s="146">
        <f t="shared" si="3"/>
        <v>0</v>
      </c>
      <c r="O33" s="146">
        <f t="shared" si="3"/>
        <v>0</v>
      </c>
      <c r="P33" s="146">
        <f t="shared" si="3"/>
        <v>0</v>
      </c>
      <c r="Q33" s="146">
        <f t="shared" si="3"/>
        <v>0</v>
      </c>
      <c r="R33" s="146">
        <f t="shared" si="3"/>
        <v>0</v>
      </c>
      <c r="S33" s="146">
        <f t="shared" si="3"/>
        <v>0</v>
      </c>
      <c r="T33" s="146">
        <f t="shared" si="3"/>
        <v>0</v>
      </c>
      <c r="U33" s="146">
        <f t="shared" si="3"/>
        <v>0</v>
      </c>
      <c r="V33" s="146">
        <f t="shared" si="3"/>
        <v>0</v>
      </c>
      <c r="W33" s="146">
        <f t="shared" si="3"/>
        <v>0</v>
      </c>
    </row>
    <row r="34" spans="2:23" ht="12.75">
      <c r="B34" s="144">
        <v>6</v>
      </c>
      <c r="C34" s="144">
        <f>Výpočet!H15</f>
        <v>0</v>
      </c>
      <c r="D34" s="146">
        <f>IF($C$34=0,0,$C$35+$C$36+$C$37+$C$38+$C$39+$C$40+$C$41+$C$42+$C$43+$C$44+$C$45+$C$46+$C$47+$C$48)</f>
        <v>0</v>
      </c>
      <c r="E34" s="146">
        <f>IF($C$34=0,0,$C$35+$C$36+$C$37+$C$38+$C$39+$C$40+$C$41+$C$42+$C$43+$C$44+$C$45+$C$46+$C$47+$C$48)</f>
        <v>0</v>
      </c>
      <c r="F34" s="146">
        <f>IF($C$34=0,0,$C$35+$C$36+$C$37+$C$38+$C$39+$C$40+$C$41+$C$42+$C$43+$C$44+$C$45+$C$46+$C$47+$C$48)</f>
        <v>0</v>
      </c>
      <c r="G34" s="146">
        <f>IF($C$34=0,0,$C$35+$C$36+$C$37+$C$38+$C$39+$C$40+$C$41+$C$42+$C$43+$C$44+$C$45+$C$46+$C$47+$C$48)</f>
        <v>0</v>
      </c>
      <c r="H34" s="146">
        <f>IF($C$34=0,0,$C$35+$C$36+$C$37+$C$38+$C$39+$C$40+$C$41+$C$42+$C$43+$C$44+$C$45+$C$46+$C$47+$C$48)</f>
        <v>0</v>
      </c>
      <c r="I34" s="146">
        <f>IF($C$34=0,0,$G$8-$C$34)</f>
        <v>0</v>
      </c>
      <c r="J34" s="146">
        <f aca="true" t="shared" si="4" ref="J34:W34">IF($C$34=0,0,$C$29+$C$30+$C$31+$C$32+$C$33)</f>
        <v>0</v>
      </c>
      <c r="K34" s="146">
        <f t="shared" si="4"/>
        <v>0</v>
      </c>
      <c r="L34" s="146">
        <f t="shared" si="4"/>
        <v>0</v>
      </c>
      <c r="M34" s="146">
        <f t="shared" si="4"/>
        <v>0</v>
      </c>
      <c r="N34" s="146">
        <f t="shared" si="4"/>
        <v>0</v>
      </c>
      <c r="O34" s="146">
        <f t="shared" si="4"/>
        <v>0</v>
      </c>
      <c r="P34" s="146">
        <f t="shared" si="4"/>
        <v>0</v>
      </c>
      <c r="Q34" s="146">
        <f t="shared" si="4"/>
        <v>0</v>
      </c>
      <c r="R34" s="146">
        <f t="shared" si="4"/>
        <v>0</v>
      </c>
      <c r="S34" s="146">
        <f t="shared" si="4"/>
        <v>0</v>
      </c>
      <c r="T34" s="146">
        <f t="shared" si="4"/>
        <v>0</v>
      </c>
      <c r="U34" s="146">
        <f t="shared" si="4"/>
        <v>0</v>
      </c>
      <c r="V34" s="146">
        <f t="shared" si="4"/>
        <v>0</v>
      </c>
      <c r="W34" s="146">
        <f t="shared" si="4"/>
        <v>0</v>
      </c>
    </row>
    <row r="35" spans="2:23" ht="12.75">
      <c r="B35" s="144">
        <v>7</v>
      </c>
      <c r="C35" s="144">
        <f>Výpočet!H16</f>
        <v>0</v>
      </c>
      <c r="D35" s="146">
        <f aca="true" t="shared" si="5" ref="D35:I35">IF($C$35=0,0,$C$36+$C$37+$C$38+$C$39+$C$40+$C$41+$C$42+$C$43+$C$44+$C$45+$C$46+$C$47+$C$48)</f>
        <v>0</v>
      </c>
      <c r="E35" s="146">
        <f t="shared" si="5"/>
        <v>0</v>
      </c>
      <c r="F35" s="146">
        <f t="shared" si="5"/>
        <v>0</v>
      </c>
      <c r="G35" s="146">
        <f t="shared" si="5"/>
        <v>0</v>
      </c>
      <c r="H35" s="146">
        <f t="shared" si="5"/>
        <v>0</v>
      </c>
      <c r="I35" s="146">
        <f t="shared" si="5"/>
        <v>0</v>
      </c>
      <c r="J35" s="146">
        <f>IF($C$35=0,0,$G$8-$C$35)</f>
        <v>0</v>
      </c>
      <c r="K35" s="146">
        <f aca="true" t="shared" si="6" ref="K35:W35">IF($C$35=0,0,$C$29+$C$30+$C$31+$C$32+$C$33+$C$34)</f>
        <v>0</v>
      </c>
      <c r="L35" s="146">
        <f t="shared" si="6"/>
        <v>0</v>
      </c>
      <c r="M35" s="146">
        <f t="shared" si="6"/>
        <v>0</v>
      </c>
      <c r="N35" s="146">
        <f t="shared" si="6"/>
        <v>0</v>
      </c>
      <c r="O35" s="146">
        <f t="shared" si="6"/>
        <v>0</v>
      </c>
      <c r="P35" s="146">
        <f t="shared" si="6"/>
        <v>0</v>
      </c>
      <c r="Q35" s="146">
        <f t="shared" si="6"/>
        <v>0</v>
      </c>
      <c r="R35" s="146">
        <f t="shared" si="6"/>
        <v>0</v>
      </c>
      <c r="S35" s="146">
        <f t="shared" si="6"/>
        <v>0</v>
      </c>
      <c r="T35" s="146">
        <f t="shared" si="6"/>
        <v>0</v>
      </c>
      <c r="U35" s="146">
        <f t="shared" si="6"/>
        <v>0</v>
      </c>
      <c r="V35" s="146">
        <f t="shared" si="6"/>
        <v>0</v>
      </c>
      <c r="W35" s="146">
        <f t="shared" si="6"/>
        <v>0</v>
      </c>
    </row>
    <row r="36" spans="2:23" ht="12.75">
      <c r="B36" s="144">
        <v>8</v>
      </c>
      <c r="C36" s="144">
        <f>Výpočet!H17</f>
        <v>0</v>
      </c>
      <c r="D36" s="146">
        <f aca="true" t="shared" si="7" ref="D36:J36">IF($C$36=0,0,$C$37+$C$38+$C$39+$C$40+$C$41+$C$42+$C$43+$C$44+$C$45+$C$46+$C$47+$C$48)</f>
        <v>0</v>
      </c>
      <c r="E36" s="146">
        <f t="shared" si="7"/>
        <v>0</v>
      </c>
      <c r="F36" s="146">
        <f t="shared" si="7"/>
        <v>0</v>
      </c>
      <c r="G36" s="146">
        <f t="shared" si="7"/>
        <v>0</v>
      </c>
      <c r="H36" s="146">
        <f t="shared" si="7"/>
        <v>0</v>
      </c>
      <c r="I36" s="146">
        <f t="shared" si="7"/>
        <v>0</v>
      </c>
      <c r="J36" s="146">
        <f t="shared" si="7"/>
        <v>0</v>
      </c>
      <c r="K36" s="146">
        <f>IF($C$36=0,0,$G$8-$C$36)</f>
        <v>0</v>
      </c>
      <c r="L36" s="146">
        <f aca="true" t="shared" si="8" ref="L36:W36">IF($C$36=0,0,$C$29+$C$30+$C$31+$C$32+$C$33+$C$34+$C$35)</f>
        <v>0</v>
      </c>
      <c r="M36" s="146">
        <f t="shared" si="8"/>
        <v>0</v>
      </c>
      <c r="N36" s="146">
        <f t="shared" si="8"/>
        <v>0</v>
      </c>
      <c r="O36" s="146">
        <f t="shared" si="8"/>
        <v>0</v>
      </c>
      <c r="P36" s="146">
        <f t="shared" si="8"/>
        <v>0</v>
      </c>
      <c r="Q36" s="146">
        <f t="shared" si="8"/>
        <v>0</v>
      </c>
      <c r="R36" s="146">
        <f t="shared" si="8"/>
        <v>0</v>
      </c>
      <c r="S36" s="146">
        <f t="shared" si="8"/>
        <v>0</v>
      </c>
      <c r="T36" s="146">
        <f t="shared" si="8"/>
        <v>0</v>
      </c>
      <c r="U36" s="146">
        <f t="shared" si="8"/>
        <v>0</v>
      </c>
      <c r="V36" s="146">
        <f t="shared" si="8"/>
        <v>0</v>
      </c>
      <c r="W36" s="146">
        <f t="shared" si="8"/>
        <v>0</v>
      </c>
    </row>
    <row r="37" spans="2:23" ht="12.75">
      <c r="B37" s="144">
        <v>9</v>
      </c>
      <c r="C37" s="144">
        <f>Výpočet!H18</f>
        <v>0</v>
      </c>
      <c r="D37" s="146">
        <f aca="true" t="shared" si="9" ref="D37:K37">IF($C$37=0,0,$C$38+$C$39+$C$40+$C$41+$C$42+$C$43+$C$44+$C$45+$C$46+$C$47+$C$48)</f>
        <v>0</v>
      </c>
      <c r="E37" s="146">
        <f t="shared" si="9"/>
        <v>0</v>
      </c>
      <c r="F37" s="146">
        <f t="shared" si="9"/>
        <v>0</v>
      </c>
      <c r="G37" s="146">
        <f t="shared" si="9"/>
        <v>0</v>
      </c>
      <c r="H37" s="146">
        <f t="shared" si="9"/>
        <v>0</v>
      </c>
      <c r="I37" s="146">
        <f t="shared" si="9"/>
        <v>0</v>
      </c>
      <c r="J37" s="146">
        <f t="shared" si="9"/>
        <v>0</v>
      </c>
      <c r="K37" s="146">
        <f t="shared" si="9"/>
        <v>0</v>
      </c>
      <c r="L37" s="146">
        <f>IF($C$37=0,0,$G$8-$C$37)</f>
        <v>0</v>
      </c>
      <c r="M37" s="146">
        <f aca="true" t="shared" si="10" ref="M37:W37">IF($C$37=0,0,$C$29+$C$30+$C$31+$C$32+$C$33+$C$34+$C$35+$C$36)</f>
        <v>0</v>
      </c>
      <c r="N37" s="146">
        <f t="shared" si="10"/>
        <v>0</v>
      </c>
      <c r="O37" s="146">
        <f t="shared" si="10"/>
        <v>0</v>
      </c>
      <c r="P37" s="146">
        <f t="shared" si="10"/>
        <v>0</v>
      </c>
      <c r="Q37" s="146">
        <f t="shared" si="10"/>
        <v>0</v>
      </c>
      <c r="R37" s="146">
        <f t="shared" si="10"/>
        <v>0</v>
      </c>
      <c r="S37" s="146">
        <f t="shared" si="10"/>
        <v>0</v>
      </c>
      <c r="T37" s="146">
        <f t="shared" si="10"/>
        <v>0</v>
      </c>
      <c r="U37" s="146">
        <f t="shared" si="10"/>
        <v>0</v>
      </c>
      <c r="V37" s="146">
        <f t="shared" si="10"/>
        <v>0</v>
      </c>
      <c r="W37" s="146">
        <f t="shared" si="10"/>
        <v>0</v>
      </c>
    </row>
    <row r="38" spans="2:23" ht="12.75">
      <c r="B38" s="144">
        <v>10</v>
      </c>
      <c r="C38" s="144">
        <f>Výpočet!H19</f>
        <v>0</v>
      </c>
      <c r="D38" s="146">
        <f aca="true" t="shared" si="11" ref="D38:L38">IF($C$38=0,0,$C$39+$C$40+$C$41+$C$42+$C$43+$C$44+$C$45+$C$46+$C$47+$C$48)</f>
        <v>0</v>
      </c>
      <c r="E38" s="146">
        <f t="shared" si="11"/>
        <v>0</v>
      </c>
      <c r="F38" s="146">
        <f t="shared" si="11"/>
        <v>0</v>
      </c>
      <c r="G38" s="146">
        <f t="shared" si="11"/>
        <v>0</v>
      </c>
      <c r="H38" s="146">
        <f t="shared" si="11"/>
        <v>0</v>
      </c>
      <c r="I38" s="146">
        <f t="shared" si="11"/>
        <v>0</v>
      </c>
      <c r="J38" s="146">
        <f t="shared" si="11"/>
        <v>0</v>
      </c>
      <c r="K38" s="146">
        <f t="shared" si="11"/>
        <v>0</v>
      </c>
      <c r="L38" s="146">
        <f t="shared" si="11"/>
        <v>0</v>
      </c>
      <c r="M38" s="146">
        <f>IF($C$38=0,0,$G$8-$C$38)</f>
        <v>0</v>
      </c>
      <c r="N38" s="146">
        <f aca="true" t="shared" si="12" ref="N38:W38">IF($C$38=0,0,$C$29+$C$30+$C$31+$C$32+$C$33+$C$34+$C$35+$C$36+$C$37)</f>
        <v>0</v>
      </c>
      <c r="O38" s="146">
        <f t="shared" si="12"/>
        <v>0</v>
      </c>
      <c r="P38" s="146">
        <f t="shared" si="12"/>
        <v>0</v>
      </c>
      <c r="Q38" s="146">
        <f t="shared" si="12"/>
        <v>0</v>
      </c>
      <c r="R38" s="146">
        <f t="shared" si="12"/>
        <v>0</v>
      </c>
      <c r="S38" s="146">
        <f t="shared" si="12"/>
        <v>0</v>
      </c>
      <c r="T38" s="146">
        <f t="shared" si="12"/>
        <v>0</v>
      </c>
      <c r="U38" s="146">
        <f t="shared" si="12"/>
        <v>0</v>
      </c>
      <c r="V38" s="146">
        <f t="shared" si="12"/>
        <v>0</v>
      </c>
      <c r="W38" s="146">
        <f t="shared" si="12"/>
        <v>0</v>
      </c>
    </row>
    <row r="39" spans="2:23" ht="12.75">
      <c r="B39" s="144">
        <v>11</v>
      </c>
      <c r="C39" s="144">
        <f>Výpočet!H20</f>
        <v>0</v>
      </c>
      <c r="D39" s="146">
        <f aca="true" t="shared" si="13" ref="D39:M39">IF($C$39=0,0,$C$40+$C$41+$C$42+$C$43+$C$44+$C$45+$C$46+$C$47+$C$48)</f>
        <v>0</v>
      </c>
      <c r="E39" s="146">
        <f t="shared" si="13"/>
        <v>0</v>
      </c>
      <c r="F39" s="146">
        <f t="shared" si="13"/>
        <v>0</v>
      </c>
      <c r="G39" s="146">
        <f t="shared" si="13"/>
        <v>0</v>
      </c>
      <c r="H39" s="146">
        <f t="shared" si="13"/>
        <v>0</v>
      </c>
      <c r="I39" s="146">
        <f t="shared" si="13"/>
        <v>0</v>
      </c>
      <c r="J39" s="146">
        <f t="shared" si="13"/>
        <v>0</v>
      </c>
      <c r="K39" s="146">
        <f t="shared" si="13"/>
        <v>0</v>
      </c>
      <c r="L39" s="146">
        <f t="shared" si="13"/>
        <v>0</v>
      </c>
      <c r="M39" s="146">
        <f t="shared" si="13"/>
        <v>0</v>
      </c>
      <c r="N39" s="146">
        <f>IF($C$39=0,0,$G$8-$C$39)</f>
        <v>0</v>
      </c>
      <c r="O39" s="146">
        <f aca="true" t="shared" si="14" ref="O39:W39">IF($C$39=0,0,$C$29+$C$30+$C$31+$C$32+$C$33+$C$34+$C$35+$C$36+$C$37+$C$38)</f>
        <v>0</v>
      </c>
      <c r="P39" s="146">
        <f t="shared" si="14"/>
        <v>0</v>
      </c>
      <c r="Q39" s="146">
        <f t="shared" si="14"/>
        <v>0</v>
      </c>
      <c r="R39" s="146">
        <f t="shared" si="14"/>
        <v>0</v>
      </c>
      <c r="S39" s="146">
        <f t="shared" si="14"/>
        <v>0</v>
      </c>
      <c r="T39" s="146">
        <f t="shared" si="14"/>
        <v>0</v>
      </c>
      <c r="U39" s="146">
        <f t="shared" si="14"/>
        <v>0</v>
      </c>
      <c r="V39" s="146">
        <f t="shared" si="14"/>
        <v>0</v>
      </c>
      <c r="W39" s="146">
        <f t="shared" si="14"/>
        <v>0</v>
      </c>
    </row>
    <row r="40" spans="2:23" ht="12.75">
      <c r="B40" s="144">
        <v>12</v>
      </c>
      <c r="C40" s="144">
        <f>Výpočet!H21</f>
        <v>0</v>
      </c>
      <c r="D40" s="146">
        <f aca="true" t="shared" si="15" ref="D40:N40">IF($C$40=0,0,$C$41+$C$42+$C$43+$C$44+$C$45+$C$46+$C$47+$C$48)</f>
        <v>0</v>
      </c>
      <c r="E40" s="146">
        <f t="shared" si="15"/>
        <v>0</v>
      </c>
      <c r="F40" s="146">
        <f t="shared" si="15"/>
        <v>0</v>
      </c>
      <c r="G40" s="146">
        <f t="shared" si="15"/>
        <v>0</v>
      </c>
      <c r="H40" s="146">
        <f t="shared" si="15"/>
        <v>0</v>
      </c>
      <c r="I40" s="146">
        <f t="shared" si="15"/>
        <v>0</v>
      </c>
      <c r="J40" s="146">
        <f t="shared" si="15"/>
        <v>0</v>
      </c>
      <c r="K40" s="146">
        <f t="shared" si="15"/>
        <v>0</v>
      </c>
      <c r="L40" s="146">
        <f t="shared" si="15"/>
        <v>0</v>
      </c>
      <c r="M40" s="146">
        <f t="shared" si="15"/>
        <v>0</v>
      </c>
      <c r="N40" s="146">
        <f t="shared" si="15"/>
        <v>0</v>
      </c>
      <c r="O40" s="146">
        <f>IF($C$40=0,0,$G$8-$C$40)</f>
        <v>0</v>
      </c>
      <c r="P40" s="146">
        <f aca="true" t="shared" si="16" ref="P40:W40">IF($C$40=0,0,$C$29+$C$30+$C$31+$C$32+$C$33+$C$34+$C$35+$C$36+$C$37+$C$38+$C$39)</f>
        <v>0</v>
      </c>
      <c r="Q40" s="146">
        <f t="shared" si="16"/>
        <v>0</v>
      </c>
      <c r="R40" s="146">
        <f t="shared" si="16"/>
        <v>0</v>
      </c>
      <c r="S40" s="146">
        <f t="shared" si="16"/>
        <v>0</v>
      </c>
      <c r="T40" s="146">
        <f t="shared" si="16"/>
        <v>0</v>
      </c>
      <c r="U40" s="146">
        <f t="shared" si="16"/>
        <v>0</v>
      </c>
      <c r="V40" s="146">
        <f t="shared" si="16"/>
        <v>0</v>
      </c>
      <c r="W40" s="146">
        <f t="shared" si="16"/>
        <v>0</v>
      </c>
    </row>
    <row r="41" spans="2:23" ht="12.75">
      <c r="B41" s="144">
        <v>13</v>
      </c>
      <c r="C41" s="144">
        <f>Výpočet!H22</f>
        <v>0</v>
      </c>
      <c r="D41" s="146">
        <f aca="true" t="shared" si="17" ref="D41:O41">IF($C$41=0,0,$C$42+$C$43+$C$44+$C$45+$C$46+$C$47+$C$48)</f>
        <v>0</v>
      </c>
      <c r="E41" s="146">
        <f t="shared" si="17"/>
        <v>0</v>
      </c>
      <c r="F41" s="146">
        <f t="shared" si="17"/>
        <v>0</v>
      </c>
      <c r="G41" s="146">
        <f t="shared" si="17"/>
        <v>0</v>
      </c>
      <c r="H41" s="146">
        <f t="shared" si="17"/>
        <v>0</v>
      </c>
      <c r="I41" s="146">
        <f t="shared" si="17"/>
        <v>0</v>
      </c>
      <c r="J41" s="146">
        <f t="shared" si="17"/>
        <v>0</v>
      </c>
      <c r="K41" s="146">
        <f t="shared" si="17"/>
        <v>0</v>
      </c>
      <c r="L41" s="146">
        <f t="shared" si="17"/>
        <v>0</v>
      </c>
      <c r="M41" s="146">
        <f t="shared" si="17"/>
        <v>0</v>
      </c>
      <c r="N41" s="146">
        <f t="shared" si="17"/>
        <v>0</v>
      </c>
      <c r="O41" s="146">
        <f t="shared" si="17"/>
        <v>0</v>
      </c>
      <c r="P41" s="146">
        <f>IF($C$41=0,0,$G$8-$C$41)</f>
        <v>0</v>
      </c>
      <c r="Q41" s="146">
        <f aca="true" t="shared" si="18" ref="Q41:W41">IF($C$41=0,0,$C$29+$C$30+$C$31+$C$32+$C$33+$C$34+$C$35+$C$36+$C$37+$C$38+$C$39+$C$40)</f>
        <v>0</v>
      </c>
      <c r="R41" s="146">
        <f t="shared" si="18"/>
        <v>0</v>
      </c>
      <c r="S41" s="146">
        <f t="shared" si="18"/>
        <v>0</v>
      </c>
      <c r="T41" s="146">
        <f t="shared" si="18"/>
        <v>0</v>
      </c>
      <c r="U41" s="146">
        <f t="shared" si="18"/>
        <v>0</v>
      </c>
      <c r="V41" s="146">
        <f t="shared" si="18"/>
        <v>0</v>
      </c>
      <c r="W41" s="146">
        <f t="shared" si="18"/>
        <v>0</v>
      </c>
    </row>
    <row r="42" spans="2:23" ht="12.75">
      <c r="B42" s="144">
        <v>14</v>
      </c>
      <c r="C42" s="144">
        <f>Výpočet!H23</f>
        <v>0</v>
      </c>
      <c r="D42" s="146">
        <f aca="true" t="shared" si="19" ref="D42:P42">IF($C$42=0,0,$C$43+$C$44+$C$45+$C$46+$C$47+$C$48)</f>
        <v>0</v>
      </c>
      <c r="E42" s="146">
        <f t="shared" si="19"/>
        <v>0</v>
      </c>
      <c r="F42" s="146">
        <f t="shared" si="19"/>
        <v>0</v>
      </c>
      <c r="G42" s="146">
        <f t="shared" si="19"/>
        <v>0</v>
      </c>
      <c r="H42" s="146">
        <f t="shared" si="19"/>
        <v>0</v>
      </c>
      <c r="I42" s="146">
        <f t="shared" si="19"/>
        <v>0</v>
      </c>
      <c r="J42" s="146">
        <f t="shared" si="19"/>
        <v>0</v>
      </c>
      <c r="K42" s="146">
        <f t="shared" si="19"/>
        <v>0</v>
      </c>
      <c r="L42" s="146">
        <f t="shared" si="19"/>
        <v>0</v>
      </c>
      <c r="M42" s="146">
        <f t="shared" si="19"/>
        <v>0</v>
      </c>
      <c r="N42" s="146">
        <f t="shared" si="19"/>
        <v>0</v>
      </c>
      <c r="O42" s="146">
        <f t="shared" si="19"/>
        <v>0</v>
      </c>
      <c r="P42" s="146">
        <f t="shared" si="19"/>
        <v>0</v>
      </c>
      <c r="Q42" s="146">
        <f>IF($C$42=0,0,$G$8-$C$42)</f>
        <v>0</v>
      </c>
      <c r="R42" s="146">
        <f aca="true" t="shared" si="20" ref="R42:W42">IF($C$42=0,0,$C$29+$C$30+$C$31+$C$32+$C$33+$C$34+$C$35+$C$36+$C$37+$C$38+$C$39+$C$40+$C$41)</f>
        <v>0</v>
      </c>
      <c r="S42" s="146">
        <f t="shared" si="20"/>
        <v>0</v>
      </c>
      <c r="T42" s="146">
        <f t="shared" si="20"/>
        <v>0</v>
      </c>
      <c r="U42" s="146">
        <f t="shared" si="20"/>
        <v>0</v>
      </c>
      <c r="V42" s="146">
        <f t="shared" si="20"/>
        <v>0</v>
      </c>
      <c r="W42" s="146">
        <f t="shared" si="20"/>
        <v>0</v>
      </c>
    </row>
    <row r="43" spans="2:23" ht="12.75">
      <c r="B43" s="144">
        <v>15</v>
      </c>
      <c r="C43" s="144">
        <f>Výpočet!H24</f>
        <v>0</v>
      </c>
      <c r="D43" s="146">
        <f aca="true" t="shared" si="21" ref="D43:Q43">IF($C$43=0,0,$C$44+$C$45+$C$46+$C$47+$C$48)</f>
        <v>0</v>
      </c>
      <c r="E43" s="146">
        <f t="shared" si="21"/>
        <v>0</v>
      </c>
      <c r="F43" s="146">
        <f t="shared" si="21"/>
        <v>0</v>
      </c>
      <c r="G43" s="146">
        <f t="shared" si="21"/>
        <v>0</v>
      </c>
      <c r="H43" s="146">
        <f t="shared" si="21"/>
        <v>0</v>
      </c>
      <c r="I43" s="146">
        <f t="shared" si="21"/>
        <v>0</v>
      </c>
      <c r="J43" s="146">
        <f t="shared" si="21"/>
        <v>0</v>
      </c>
      <c r="K43" s="146">
        <f t="shared" si="21"/>
        <v>0</v>
      </c>
      <c r="L43" s="146">
        <f t="shared" si="21"/>
        <v>0</v>
      </c>
      <c r="M43" s="146">
        <f t="shared" si="21"/>
        <v>0</v>
      </c>
      <c r="N43" s="146">
        <f t="shared" si="21"/>
        <v>0</v>
      </c>
      <c r="O43" s="146">
        <f t="shared" si="21"/>
        <v>0</v>
      </c>
      <c r="P43" s="146">
        <f t="shared" si="21"/>
        <v>0</v>
      </c>
      <c r="Q43" s="146">
        <f t="shared" si="21"/>
        <v>0</v>
      </c>
      <c r="R43" s="146">
        <f>IF($C$43=0,0,$G$8-$C$43)</f>
        <v>0</v>
      </c>
      <c r="S43" s="146">
        <f>IF($C$43=0,0,$C$29+$C$30+$C$31+$C$32+$C$33+$C$34+$C$35+$C$36+$C$37+$C$38+$C$39+$C$40+$C$41+$C$42)</f>
        <v>0</v>
      </c>
      <c r="T43" s="146">
        <f>IF($C$43=0,0,$C$29+$C$30+$C$31+$C$32+$C$33+$C$34+$C$35+$C$36+$C$37+$C$38+$C$39+$C$40+$C$41+$C$42)</f>
        <v>0</v>
      </c>
      <c r="U43" s="146">
        <f>IF($C$43=0,0,$C$29+$C$30+$C$31+$C$32+$C$33+$C$34+$C$35+$C$36+$C$37+$C$38+$C$39+$C$40+$C$41+$C$42)</f>
        <v>0</v>
      </c>
      <c r="V43" s="146">
        <f>IF($C$43=0,0,$C$29+$C$30+$C$31+$C$32+$C$33+$C$34+$C$35+$C$36+$C$37+$C$38+$C$39+$C$40+$C$41+$C$42)</f>
        <v>0</v>
      </c>
      <c r="W43" s="146">
        <f>IF($C$43=0,0,$C$29+$C$30+$C$31+$C$32+$C$33+$C$34+$C$35+$C$36+$C$37+$C$38+$C$39+$C$40+$C$41+$C$42)</f>
        <v>0</v>
      </c>
    </row>
    <row r="44" spans="2:23" ht="12.75">
      <c r="B44" s="144">
        <v>16</v>
      </c>
      <c r="C44" s="144">
        <f>Výpočet!H25</f>
        <v>0</v>
      </c>
      <c r="D44" s="146">
        <f aca="true" t="shared" si="22" ref="D44:R44">IF($C$44=0,0,$C$45+$C$46+$C$47+$C$48)</f>
        <v>0</v>
      </c>
      <c r="E44" s="146">
        <f t="shared" si="22"/>
        <v>0</v>
      </c>
      <c r="F44" s="146">
        <f t="shared" si="22"/>
        <v>0</v>
      </c>
      <c r="G44" s="146">
        <f t="shared" si="22"/>
        <v>0</v>
      </c>
      <c r="H44" s="146">
        <f t="shared" si="22"/>
        <v>0</v>
      </c>
      <c r="I44" s="146">
        <f t="shared" si="22"/>
        <v>0</v>
      </c>
      <c r="J44" s="146">
        <f t="shared" si="22"/>
        <v>0</v>
      </c>
      <c r="K44" s="146">
        <f t="shared" si="22"/>
        <v>0</v>
      </c>
      <c r="L44" s="146">
        <f t="shared" si="22"/>
        <v>0</v>
      </c>
      <c r="M44" s="146">
        <f t="shared" si="22"/>
        <v>0</v>
      </c>
      <c r="N44" s="146">
        <f t="shared" si="22"/>
        <v>0</v>
      </c>
      <c r="O44" s="146">
        <f t="shared" si="22"/>
        <v>0</v>
      </c>
      <c r="P44" s="146">
        <f t="shared" si="22"/>
        <v>0</v>
      </c>
      <c r="Q44" s="146">
        <f t="shared" si="22"/>
        <v>0</v>
      </c>
      <c r="R44" s="146">
        <f t="shared" si="22"/>
        <v>0</v>
      </c>
      <c r="S44" s="146">
        <f>IF($C$44=0,0,$G$8-$C$44)</f>
        <v>0</v>
      </c>
      <c r="T44" s="146">
        <f>IF($C$44=0,0,$C$29+$C$30+$C$31+$C$32+$C$33+$C$34+$C$35+$C$36+$C$37+$C$38+$C$39+$C$40+$C$41+$C$42+$C$43)</f>
        <v>0</v>
      </c>
      <c r="U44" s="146">
        <f>IF($C$44=0,0,$C$29+$C$30+$C$31+$C$32+$C$33+$C$34+$C$35+$C$36+$C$37+$C$38+$C$39+$C$40+$C$41+$C$42+$C$43)</f>
        <v>0</v>
      </c>
      <c r="V44" s="146">
        <f>IF($C$44=0,0,$C$29+$C$30+$C$31+$C$32+$C$33+$C$34+$C$35+$C$36+$C$37+$C$38+$C$39+$C$40+$C$41+$C$42+$C$43)</f>
        <v>0</v>
      </c>
      <c r="W44" s="146">
        <f>IF($C$44=0,0,$C$29+$C$30+$C$31+$C$32+$C$33+$C$34+$C$35+$C$36+$C$37+$C$38+$C$39+$C$40+$C$41+$C$42+$C$43)</f>
        <v>0</v>
      </c>
    </row>
    <row r="45" spans="2:23" ht="12.75">
      <c r="B45" s="144">
        <v>17</v>
      </c>
      <c r="C45" s="144">
        <f>Výpočet!H26</f>
        <v>0</v>
      </c>
      <c r="D45" s="146">
        <f aca="true" t="shared" si="23" ref="D45:S45">IF($C$45=0,0,$C$46+$C$47+$C$48)</f>
        <v>0</v>
      </c>
      <c r="E45" s="146">
        <f t="shared" si="23"/>
        <v>0</v>
      </c>
      <c r="F45" s="146">
        <f t="shared" si="23"/>
        <v>0</v>
      </c>
      <c r="G45" s="146">
        <f t="shared" si="23"/>
        <v>0</v>
      </c>
      <c r="H45" s="146">
        <f t="shared" si="23"/>
        <v>0</v>
      </c>
      <c r="I45" s="146">
        <f t="shared" si="23"/>
        <v>0</v>
      </c>
      <c r="J45" s="146">
        <f t="shared" si="23"/>
        <v>0</v>
      </c>
      <c r="K45" s="146">
        <f t="shared" si="23"/>
        <v>0</v>
      </c>
      <c r="L45" s="146">
        <f t="shared" si="23"/>
        <v>0</v>
      </c>
      <c r="M45" s="146">
        <f t="shared" si="23"/>
        <v>0</v>
      </c>
      <c r="N45" s="146">
        <f t="shared" si="23"/>
        <v>0</v>
      </c>
      <c r="O45" s="146">
        <f t="shared" si="23"/>
        <v>0</v>
      </c>
      <c r="P45" s="146">
        <f t="shared" si="23"/>
        <v>0</v>
      </c>
      <c r="Q45" s="146">
        <f t="shared" si="23"/>
        <v>0</v>
      </c>
      <c r="R45" s="146">
        <f t="shared" si="23"/>
        <v>0</v>
      </c>
      <c r="S45" s="146">
        <f t="shared" si="23"/>
        <v>0</v>
      </c>
      <c r="T45" s="146">
        <f>IF($C$45=0,0,$G$8-$C$45)</f>
        <v>0</v>
      </c>
      <c r="U45" s="146">
        <f>IF($C$45=0,0,$C$29+$C$30+$C$31+$C$32+$C$33+$C$34+$C$35+$C$36+$C$37+$C$38+$C$39+$C$40+$C$41+$C$42+$C$43+$C$44)</f>
        <v>0</v>
      </c>
      <c r="V45" s="146">
        <f>IF($C$45=0,0,$C$29+$C$30+$C$31+$C$32+$C$33+$C$34+$C$35+$C$36+$C$37+$C$38+$C$39+$C$40+$C$41+$C$42+$C$43+$C$44)</f>
        <v>0</v>
      </c>
      <c r="W45" s="146">
        <f>IF($C$45=0,0,$C$29+$C$30+$C$31+$C$32+$C$33+$C$34+$C$35+$C$36+$C$37+$C$38+$C$39+$C$40+$C$41+$C$42+$C$43+$C$44)</f>
        <v>0</v>
      </c>
    </row>
    <row r="46" spans="2:23" ht="12.75">
      <c r="B46" s="144">
        <v>18</v>
      </c>
      <c r="C46" s="144">
        <f>Výpočet!H27</f>
        <v>0</v>
      </c>
      <c r="D46" s="146">
        <f aca="true" t="shared" si="24" ref="D46:T46">IF($C$46=0,0,$C$48+$C$47)</f>
        <v>0</v>
      </c>
      <c r="E46" s="146">
        <f t="shared" si="24"/>
        <v>0</v>
      </c>
      <c r="F46" s="146">
        <f t="shared" si="24"/>
        <v>0</v>
      </c>
      <c r="G46" s="146">
        <f t="shared" si="24"/>
        <v>0</v>
      </c>
      <c r="H46" s="146">
        <f t="shared" si="24"/>
        <v>0</v>
      </c>
      <c r="I46" s="146">
        <f t="shared" si="24"/>
        <v>0</v>
      </c>
      <c r="J46" s="146">
        <f t="shared" si="24"/>
        <v>0</v>
      </c>
      <c r="K46" s="146">
        <f t="shared" si="24"/>
        <v>0</v>
      </c>
      <c r="L46" s="146">
        <f t="shared" si="24"/>
        <v>0</v>
      </c>
      <c r="M46" s="146">
        <f t="shared" si="24"/>
        <v>0</v>
      </c>
      <c r="N46" s="146">
        <f t="shared" si="24"/>
        <v>0</v>
      </c>
      <c r="O46" s="146">
        <f t="shared" si="24"/>
        <v>0</v>
      </c>
      <c r="P46" s="146">
        <f t="shared" si="24"/>
        <v>0</v>
      </c>
      <c r="Q46" s="146">
        <f t="shared" si="24"/>
        <v>0</v>
      </c>
      <c r="R46" s="146">
        <f t="shared" si="24"/>
        <v>0</v>
      </c>
      <c r="S46" s="146">
        <f t="shared" si="24"/>
        <v>0</v>
      </c>
      <c r="T46" s="146">
        <f t="shared" si="24"/>
        <v>0</v>
      </c>
      <c r="U46" s="146">
        <f>IF($C$46=0,0,$G$8-$C$46)</f>
        <v>0</v>
      </c>
      <c r="V46" s="146">
        <f>IF($C$46=0,0,$C$29+$C$30+$C$31+$C$32+$C$33+$C$34+$C$35+$C$36+$C$37+$C$38+$C$39+$C$40+$C$41+$C$42+$C$43+$C$44+$C$45)</f>
        <v>0</v>
      </c>
      <c r="W46" s="146">
        <f>IF($C$46=0,0,$C$29+$C$30+$C$31+$C$32+$C$33+$C$34+$C$35+$C$36+$C$37+$C$38+$C$39+$C$40+$C$41+$C$42+$C$43+$C$44+$C$45)</f>
        <v>0</v>
      </c>
    </row>
    <row r="47" spans="2:23" ht="12.75">
      <c r="B47" s="144">
        <v>19</v>
      </c>
      <c r="C47" s="144">
        <f>Výpočet!H28</f>
        <v>0</v>
      </c>
      <c r="D47" s="146">
        <f aca="true" t="shared" si="25" ref="D47:U47">IF($C$47=0,0,$C$48)</f>
        <v>0</v>
      </c>
      <c r="E47" s="146">
        <f t="shared" si="25"/>
        <v>0</v>
      </c>
      <c r="F47" s="146">
        <f t="shared" si="25"/>
        <v>0</v>
      </c>
      <c r="G47" s="146">
        <f t="shared" si="25"/>
        <v>0</v>
      </c>
      <c r="H47" s="146">
        <f t="shared" si="25"/>
        <v>0</v>
      </c>
      <c r="I47" s="146">
        <f t="shared" si="25"/>
        <v>0</v>
      </c>
      <c r="J47" s="146">
        <f t="shared" si="25"/>
        <v>0</v>
      </c>
      <c r="K47" s="146">
        <f t="shared" si="25"/>
        <v>0</v>
      </c>
      <c r="L47" s="146">
        <f t="shared" si="25"/>
        <v>0</v>
      </c>
      <c r="M47" s="146">
        <f t="shared" si="25"/>
        <v>0</v>
      </c>
      <c r="N47" s="146">
        <f t="shared" si="25"/>
        <v>0</v>
      </c>
      <c r="O47" s="146">
        <f t="shared" si="25"/>
        <v>0</v>
      </c>
      <c r="P47" s="146">
        <f t="shared" si="25"/>
        <v>0</v>
      </c>
      <c r="Q47" s="146">
        <f t="shared" si="25"/>
        <v>0</v>
      </c>
      <c r="R47" s="146">
        <f t="shared" si="25"/>
        <v>0</v>
      </c>
      <c r="S47" s="146">
        <f t="shared" si="25"/>
        <v>0</v>
      </c>
      <c r="T47" s="146">
        <f t="shared" si="25"/>
        <v>0</v>
      </c>
      <c r="U47" s="146">
        <f t="shared" si="25"/>
        <v>0</v>
      </c>
      <c r="V47" s="146">
        <f>IF($C$47=0,0,$G$8-$C$47)</f>
        <v>0</v>
      </c>
      <c r="W47" s="146">
        <f>IF($C$47=0,0,$C$29+$C$30+$C$31+$C$32+$C$33+$C$34+$C$35+$C$36+$C$37+$C$38+$C$39+$C$40+$C$41+$C$42+$C$43+$C$44+$C$45+$C$46)</f>
        <v>0</v>
      </c>
    </row>
    <row r="48" spans="2:23" ht="12.75">
      <c r="B48" s="144">
        <v>20</v>
      </c>
      <c r="C48" s="144">
        <f>Výpočet!H29</f>
        <v>0</v>
      </c>
      <c r="D48" s="146">
        <v>0</v>
      </c>
      <c r="E48" s="146">
        <v>0</v>
      </c>
      <c r="F48" s="146">
        <v>0</v>
      </c>
      <c r="G48" s="146">
        <v>0</v>
      </c>
      <c r="H48" s="146">
        <v>0</v>
      </c>
      <c r="I48" s="146">
        <v>0</v>
      </c>
      <c r="J48" s="146">
        <v>0</v>
      </c>
      <c r="K48" s="146">
        <v>0</v>
      </c>
      <c r="L48" s="146">
        <v>0</v>
      </c>
      <c r="M48" s="146">
        <v>0</v>
      </c>
      <c r="N48" s="146">
        <v>0</v>
      </c>
      <c r="O48" s="146">
        <v>0</v>
      </c>
      <c r="P48" s="146">
        <v>0</v>
      </c>
      <c r="Q48" s="146">
        <v>0</v>
      </c>
      <c r="R48" s="146">
        <v>0</v>
      </c>
      <c r="S48" s="146">
        <v>0</v>
      </c>
      <c r="T48" s="146">
        <v>0</v>
      </c>
      <c r="U48" s="146">
        <v>0</v>
      </c>
      <c r="V48" s="146">
        <v>0</v>
      </c>
      <c r="W48" s="146">
        <f>IF($C$48=0,0,$G$8-$C$48)</f>
        <v>0</v>
      </c>
    </row>
    <row r="51" spans="2:3" ht="12.75">
      <c r="B51" s="144">
        <v>1</v>
      </c>
      <c r="C51" s="152">
        <f>IF($D3=2,0,((data!$M$3*Výpočet!$J10+data!$M$4*Výpočet!$K10+(VLOOKUP(Výpočet!$M10,data!$O$4:$P$6,2)*Výpočet!L10))/(Výpočet!$J10+Výpočet!$K10+Výpočet!$L10)))</f>
        <v>0</v>
      </c>
    </row>
    <row r="52" spans="2:3" ht="12.75">
      <c r="B52" s="144">
        <v>2</v>
      </c>
      <c r="C52" s="152">
        <f>IF($D4=2,0,((data!$M$3*Výpočet!$J11+data!$M$4*Výpočet!$K11+(VLOOKUP(Výpočet!$M11,data!$O$4:$P$6,2)*Výpočet!L11))/(Výpočet!$J11+Výpočet!$K11+Výpočet!$L11)))</f>
        <v>0</v>
      </c>
    </row>
    <row r="53" spans="2:3" ht="12.75">
      <c r="B53" s="144">
        <v>3</v>
      </c>
      <c r="C53" s="152">
        <f>IF($D5=2,0,((data!$M$3*Výpočet!$J12+data!$M$4*Výpočet!$K12+(VLOOKUP(Výpočet!$M12,data!$O$4:$P$6,2)*Výpočet!L12))/(Výpočet!$J12+Výpočet!$K12+Výpočet!$L12)))</f>
        <v>0</v>
      </c>
    </row>
    <row r="54" spans="2:3" ht="12.75">
      <c r="B54" s="144">
        <v>4</v>
      </c>
      <c r="C54" s="152">
        <f>IF($D6=2,0,((data!$M$3*Výpočet!$J13+data!$M$4*Výpočet!$K13+(VLOOKUP(Výpočet!$M13,data!$O$4:$P$6,2)*Výpočet!L13))/(Výpočet!$J13+Výpočet!$K13+Výpočet!$L13)))</f>
        <v>0</v>
      </c>
    </row>
    <row r="55" spans="2:3" ht="12.75">
      <c r="B55" s="144">
        <v>5</v>
      </c>
      <c r="C55" s="152">
        <f>IF($D7=2,0,((data!$M$3*Výpočet!$J14+data!$M$4*Výpočet!$K14+(VLOOKUP(Výpočet!$M14,data!$O$4:$P$6,2)*Výpočet!L14))/(Výpočet!$J14+Výpočet!$K14+Výpočet!$L14)))</f>
        <v>0</v>
      </c>
    </row>
    <row r="56" spans="2:3" ht="12.75">
      <c r="B56" s="144">
        <v>6</v>
      </c>
      <c r="C56" s="152">
        <f>IF($D8=2,0,((data!$M$3*Výpočet!$J15+data!$M$4*Výpočet!$K15+(VLOOKUP(Výpočet!$M15,data!$O$4:$P$6,2)*Výpočet!L15))/(Výpočet!$J15+Výpočet!$K15+Výpočet!$L15)))</f>
        <v>0</v>
      </c>
    </row>
    <row r="57" spans="2:3" ht="12.75">
      <c r="B57" s="144">
        <v>7</v>
      </c>
      <c r="C57" s="152">
        <f>IF($D9=2,0,((data!$M$3*Výpočet!$J16+data!$M$4*Výpočet!$K16+(VLOOKUP(Výpočet!$M16,data!$O$4:$P$6,2)*Výpočet!L16))/(Výpočet!$J16+Výpočet!$K16+Výpočet!$L16)))</f>
        <v>0</v>
      </c>
    </row>
    <row r="58" spans="2:3" ht="12.75">
      <c r="B58" s="144">
        <v>8</v>
      </c>
      <c r="C58" s="152">
        <f>IF($D10=2,0,((data!$M$3*Výpočet!$J17+data!$M$4*Výpočet!$K17+(VLOOKUP(Výpočet!$M17,data!$O$4:$P$6,2)*Výpočet!L17))/(Výpočet!$J17+Výpočet!$K17+Výpočet!$L17)))</f>
        <v>0</v>
      </c>
    </row>
    <row r="59" spans="2:3" ht="12.75">
      <c r="B59" s="144">
        <v>9</v>
      </c>
      <c r="C59" s="152">
        <f>IF($D11=2,0,((data!$M$3*Výpočet!$J18+data!$M$4*Výpočet!$K18+(VLOOKUP(Výpočet!$M18,data!$O$4:$P$6,2)*Výpočet!L18))/(Výpočet!$J18+Výpočet!$K18+Výpočet!$L18)))</f>
        <v>0</v>
      </c>
    </row>
    <row r="60" spans="2:3" ht="12.75">
      <c r="B60" s="144">
        <v>10</v>
      </c>
      <c r="C60" s="152">
        <f>IF($D12=2,0,((data!$M$3*Výpočet!$J19+data!$M$4*Výpočet!$K19+(VLOOKUP(Výpočet!$M19,data!$O$4:$P$6,2)*Výpočet!L19))/(Výpočet!$J19+Výpočet!$K19+Výpočet!$L19)))</f>
        <v>0</v>
      </c>
    </row>
    <row r="61" spans="2:3" ht="12.75">
      <c r="B61" s="144">
        <v>11</v>
      </c>
      <c r="C61" s="152">
        <f>IF($D13=2,0,((data!$M$3*Výpočet!$J20+data!$M$4*Výpočet!$K20+(VLOOKUP(Výpočet!$M20,data!$O$4:$P$6,2)*Výpočet!L20))/(Výpočet!$J20+Výpočet!$K20+Výpočet!$L20)))</f>
        <v>0</v>
      </c>
    </row>
    <row r="62" spans="2:3" ht="12.75">
      <c r="B62" s="144">
        <v>12</v>
      </c>
      <c r="C62" s="152">
        <f>IF($D14=2,0,((data!$M$3*Výpočet!$J21+data!$M$4*Výpočet!$K21+(VLOOKUP(Výpočet!$M21,data!$O$4:$P$6,2)*Výpočet!L21))/(Výpočet!$J21+Výpočet!$K21+Výpočet!$L21)))</f>
        <v>0</v>
      </c>
    </row>
    <row r="63" spans="2:3" ht="12.75">
      <c r="B63" s="144">
        <v>13</v>
      </c>
      <c r="C63" s="152">
        <f>IF($D15=2,0,((data!$M$3*Výpočet!$J22+data!$M$4*Výpočet!$K22+(VLOOKUP(Výpočet!$M22,data!$O$4:$P$6,2)*Výpočet!L22))/(Výpočet!$J22+Výpočet!$K22+Výpočet!$L22)))</f>
        <v>0</v>
      </c>
    </row>
    <row r="64" spans="2:3" ht="12.75">
      <c r="B64" s="144">
        <v>14</v>
      </c>
      <c r="C64" s="152">
        <f>IF($D16=2,0,((data!$M$3*Výpočet!$J23+data!$M$4*Výpočet!$K23+(VLOOKUP(Výpočet!$M23,data!$O$4:$P$6,2)*Výpočet!L23))/(Výpočet!$J23+Výpočet!$K23+Výpočet!$L23)))</f>
        <v>0</v>
      </c>
    </row>
    <row r="65" spans="2:3" ht="12.75">
      <c r="B65" s="144">
        <v>15</v>
      </c>
      <c r="C65" s="152">
        <f>IF($D17=2,0,((data!$M$3*Výpočet!$J24+data!$M$4*Výpočet!$K24+(VLOOKUP(Výpočet!$M24,data!$O$4:$P$6,2)*Výpočet!L24))/(Výpočet!$J24+Výpočet!$K24+Výpočet!$L24)))</f>
        <v>0</v>
      </c>
    </row>
    <row r="66" spans="2:3" ht="12.75">
      <c r="B66" s="144">
        <v>16</v>
      </c>
      <c r="C66" s="152">
        <f>IF($D18=2,0,((data!$M$3*Výpočet!$J25+data!$M$4*Výpočet!$K25+(VLOOKUP(Výpočet!$M25,data!$O$4:$P$6,2)*Výpočet!L25))/(Výpočet!$J25+Výpočet!$K25+Výpočet!$L25)))</f>
        <v>0</v>
      </c>
    </row>
    <row r="67" spans="2:3" ht="12.75">
      <c r="B67" s="144">
        <v>17</v>
      </c>
      <c r="C67" s="152">
        <f>IF($D19=2,0,((data!$M$3*Výpočet!$J26+data!$M$4*Výpočet!$K26+(VLOOKUP(Výpočet!$M26,data!$O$4:$P$6,2)*Výpočet!L26))/(Výpočet!$J26+Výpočet!$K26+Výpočet!$L26)))</f>
        <v>0</v>
      </c>
    </row>
    <row r="68" spans="2:3" ht="12.75">
      <c r="B68" s="144">
        <v>18</v>
      </c>
      <c r="C68" s="152">
        <f>IF($D20=2,0,((data!$M$3*Výpočet!$J27+data!$M$4*Výpočet!$K27+(VLOOKUP(Výpočet!$M27,data!$O$4:$P$6,2)*Výpočet!L27))/(Výpočet!$J27+Výpočet!$K27+Výpočet!$L27)))</f>
        <v>0</v>
      </c>
    </row>
    <row r="69" spans="2:3" ht="12.75">
      <c r="B69" s="144">
        <v>19</v>
      </c>
      <c r="C69" s="152">
        <f>IF($D21=2,0,((data!$M$3*Výpočet!$J28+data!$M$4*Výpočet!$K28+(VLOOKUP(Výpočet!$M28,data!$O$4:$P$6,2)*Výpočet!L28))/(Výpočet!$J28+Výpočet!$K28+Výpočet!$L28)))</f>
        <v>0</v>
      </c>
    </row>
    <row r="70" spans="2:3" ht="12.75">
      <c r="B70" s="144">
        <v>20</v>
      </c>
      <c r="C70" s="152">
        <f>IF($D22=2,0,((data!$M$3*Výpočet!$J29+data!$M$4*Výpočet!$K29+(VLOOKUP(Výpočet!$M29,data!$O$4:$P$6,2)*Výpočet!L29))/(Výpočet!$J29+Výpočet!$K29+Výpočet!$L29)))</f>
        <v>0</v>
      </c>
    </row>
  </sheetData>
  <sheetProtection/>
  <mergeCells count="9">
    <mergeCell ref="D27:W27"/>
    <mergeCell ref="T3:W3"/>
    <mergeCell ref="T4:W4"/>
    <mergeCell ref="T5:W5"/>
    <mergeCell ref="T6:W6"/>
    <mergeCell ref="T7:W7"/>
    <mergeCell ref="T8:W8"/>
    <mergeCell ref="T9:W9"/>
    <mergeCell ref="T10:W10"/>
  </mergeCells>
  <conditionalFormatting sqref="J23">
    <cfRule type="cellIs" priority="1" dxfId="1" operator="notEqual" stopIfTrue="1">
      <formula>0</formula>
    </cfRule>
    <cfRule type="cellIs" priority="2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Větrání podzemních garáží</dc:title>
  <dc:subject>Diplomová práce</dc:subject>
  <dc:creator>Bc. Barbora Kostková</dc:creator>
  <cp:keywords/>
  <dc:description/>
  <cp:lastModifiedBy>STP</cp:lastModifiedBy>
  <cp:lastPrinted>2013-05-27T21:58:12Z</cp:lastPrinted>
  <dcterms:created xsi:type="dcterms:W3CDTF">2012-03-01T09:17:27Z</dcterms:created>
  <dcterms:modified xsi:type="dcterms:W3CDTF">2013-06-25T07:43:29Z</dcterms:modified>
  <cp:category/>
  <cp:version/>
  <cp:contentType/>
  <cp:contentStatus/>
</cp:coreProperties>
</file>